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43.bin" ContentType="application/vnd.openxmlformats-officedocument.oleObject"/>
  <Override PartName="/xl/embeddings/oleObject61.bin" ContentType="application/vnd.openxmlformats-officedocument.oleObject"/>
  <Override PartName="/xl/embeddings/oleObject90.bin" ContentType="application/vnd.openxmlformats-officedocument.oleObject"/>
  <Override PartName="/xl/embeddings/oleObject113.bin" ContentType="application/vnd.openxmlformats-officedocument.oleObject"/>
  <Override PartName="/xl/styles.xml" ContentType="application/vnd.openxmlformats-officedocument.spreadsheetml.styles+xml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50.bin" ContentType="application/vnd.openxmlformats-officedocument.oleObject"/>
  <Override PartName="/xl/embeddings/oleObject102.bin" ContentType="application/vnd.openxmlformats-officedocument.oleObject"/>
  <Override PartName="/xl/embeddings/oleObject120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xml" ContentType="application/xml"/>
  <Override PartName="/xl/worksheets/sheet3.xml" ContentType="application/vnd.openxmlformats-officedocument.spreadsheetml.worksheet+xml"/>
  <Override PartName="/xl/embeddings/oleObject88.bin" ContentType="application/vnd.openxmlformats-officedocument.oleObject"/>
  <Override PartName="/xl/embeddings/oleObject99.bin" ContentType="application/vnd.openxmlformats-officedocument.oleObject"/>
  <Override PartName="/xl/embeddings/oleObject48.bin" ContentType="application/vnd.openxmlformats-officedocument.oleObject"/>
  <Override PartName="/xl/embeddings/oleObject59.bin" ContentType="application/vnd.openxmlformats-officedocument.oleObject"/>
  <Override PartName="/xl/embeddings/oleObject77.bin" ContentType="application/vnd.openxmlformats-officedocument.oleObject"/>
  <Override PartName="/xl/embeddings/oleObject95.bin" ContentType="application/vnd.openxmlformats-officedocument.oleObject"/>
  <Override PartName="/xl/sharedStrings.xml" ContentType="application/vnd.openxmlformats-officedocument.spreadsheetml.sharedStrings+xml"/>
  <Override PartName="/xl/embeddings/oleObject19.bin" ContentType="application/vnd.openxmlformats-officedocument.oleObject"/>
  <Override PartName="/xl/embeddings/oleObject37.bin" ContentType="application/vnd.openxmlformats-officedocument.oleObject"/>
  <Override PartName="/xl/embeddings/oleObject66.bin" ContentType="application/vnd.openxmlformats-officedocument.oleObject"/>
  <Override PartName="/xl/embeddings/oleObject84.bin" ContentType="application/vnd.openxmlformats-officedocument.oleObject"/>
  <Override PartName="/xl/embeddings/oleObject107.bin" ContentType="application/vnd.openxmlformats-officedocument.oleObject"/>
  <Override PartName="/xl/embeddings/oleObject118.bin" ContentType="application/vnd.openxmlformats-officedocument.oleObject"/>
  <Override PartName="/xl/embeddings/oleObject9.bin" ContentType="application/vnd.openxmlformats-officedocument.oleObject"/>
  <Override PartName="/xl/embeddings/oleObject26.bin" ContentType="application/vnd.openxmlformats-officedocument.oleObject"/>
  <Override PartName="/xl/embeddings/oleObject44.bin" ContentType="application/vnd.openxmlformats-officedocument.oleObject"/>
  <Override PartName="/xl/embeddings/oleObject55.bin" ContentType="application/vnd.openxmlformats-officedocument.oleObject"/>
  <Override PartName="/xl/embeddings/oleObject73.bin" ContentType="application/vnd.openxmlformats-officedocument.oleObject"/>
  <Override PartName="/xl/embeddings/oleObject91.bin" ContentType="application/vnd.openxmlformats-officedocument.oleObject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42.bin" ContentType="application/vnd.openxmlformats-officedocument.oleObject"/>
  <Override PartName="/xl/embeddings/oleObject53.bin" ContentType="application/vnd.openxmlformats-officedocument.oleObject"/>
  <Override PartName="/xl/embeddings/oleObject62.bin" ContentType="application/vnd.openxmlformats-officedocument.oleObject"/>
  <Override PartName="/xl/embeddings/oleObject71.bin" ContentType="application/vnd.openxmlformats-officedocument.oleObject"/>
  <Override PartName="/xl/embeddings/oleObject80.bin" ContentType="application/vnd.openxmlformats-officedocument.oleObject"/>
  <Override PartName="/xl/embeddings/oleObject103.bin" ContentType="application/vnd.openxmlformats-officedocument.oleObject"/>
  <Override PartName="/xl/embeddings/oleObject114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  <Override PartName="/xl/embeddings/oleObject40.bin" ContentType="application/vnd.openxmlformats-officedocument.oleObject"/>
  <Override PartName="/xl/embeddings/oleObject51.bin" ContentType="application/vnd.openxmlformats-officedocument.oleObject"/>
  <Override PartName="/xl/embeddings/oleObject60.bin" ContentType="application/vnd.openxmlformats-officedocument.oleObject"/>
  <Override PartName="/xl/embeddings/oleObject101.bin" ContentType="application/vnd.openxmlformats-officedocument.oleObject"/>
  <Override PartName="/xl/embeddings/oleObject110.bin" ContentType="application/vnd.openxmlformats-officedocument.oleObject"/>
  <Override PartName="/xl/embeddings/oleObject112.bin" ContentType="application/vnd.openxmlformats-officedocument.oleObject"/>
  <Override PartName="/xl/embeddings/oleObject121.bin" ContentType="application/vnd.openxmlformats-officedocument.oleObject"/>
  <Override PartName="/xl/embeddings/oleObject3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embeddings/oleObject69.bin" ContentType="application/vnd.openxmlformats-officedocument.oleObject"/>
  <Override PartName="/xl/embeddings/oleObject89.bin" ContentType="application/vnd.openxmlformats-officedocument.oleObject"/>
  <Override PartName="/xl/embeddings/oleObject98.bin" ContentType="application/vnd.openxmlformats-officedocument.oleObject"/>
  <Default Extension="vml" ContentType="application/vnd.openxmlformats-officedocument.vmlDrawing"/>
  <Override PartName="/xl/embeddings/oleObject49.bin" ContentType="application/vnd.openxmlformats-officedocument.oleObject"/>
  <Override PartName="/xl/embeddings/oleObject58.bin" ContentType="application/vnd.openxmlformats-officedocument.oleObject"/>
  <Override PartName="/xl/embeddings/oleObject67.bin" ContentType="application/vnd.openxmlformats-officedocument.oleObject"/>
  <Override PartName="/xl/embeddings/oleObject78.bin" ContentType="application/vnd.openxmlformats-officedocument.oleObject"/>
  <Override PartName="/xl/embeddings/oleObject87.bin" ContentType="application/vnd.openxmlformats-officedocument.oleObject"/>
  <Override PartName="/xl/embeddings/oleObject96.bin" ContentType="application/vnd.openxmlformats-officedocument.oleObject"/>
  <Override PartName="/xl/embeddings/oleObject119.bin" ContentType="application/vnd.openxmlformats-officedocument.oleObject"/>
  <Override PartName="/xl/calcChain.xml" ContentType="application/vnd.openxmlformats-officedocument.spreadsheetml.calcChain+xml"/>
  <Override PartName="/xl/embeddings/oleObject18.bin" ContentType="application/vnd.openxmlformats-officedocument.oleObject"/>
  <Override PartName="/xl/embeddings/oleObject29.bin" ContentType="application/vnd.openxmlformats-officedocument.oleObject"/>
  <Override PartName="/xl/embeddings/oleObject38.bin" ContentType="application/vnd.openxmlformats-officedocument.oleObject"/>
  <Override PartName="/xl/embeddings/oleObject47.bin" ContentType="application/vnd.openxmlformats-officedocument.oleObject"/>
  <Override PartName="/xl/embeddings/oleObject56.bin" ContentType="application/vnd.openxmlformats-officedocument.oleObject"/>
  <Override PartName="/xl/embeddings/oleObject65.bin" ContentType="application/vnd.openxmlformats-officedocument.oleObject"/>
  <Override PartName="/xl/embeddings/oleObject76.bin" ContentType="application/vnd.openxmlformats-officedocument.oleObject"/>
  <Override PartName="/xl/embeddings/oleObject85.bin" ContentType="application/vnd.openxmlformats-officedocument.oleObject"/>
  <Override PartName="/xl/embeddings/oleObject94.bin" ContentType="application/vnd.openxmlformats-officedocument.oleObject"/>
  <Override PartName="/xl/embeddings/oleObject108.bin" ContentType="application/vnd.openxmlformats-officedocument.oleObject"/>
  <Override PartName="/xl/embeddings/oleObject117.bin" ContentType="application/vnd.openxmlformats-officedocument.oleObject"/>
  <Override PartName="/xl/embeddings/oleObject16.bin" ContentType="application/vnd.openxmlformats-officedocument.oleObject"/>
  <Override PartName="/xl/embeddings/oleObject25.bin" ContentType="application/vnd.openxmlformats-officedocument.oleObject"/>
  <Override PartName="/xl/embeddings/oleObject27.bin" ContentType="application/vnd.openxmlformats-officedocument.oleObject"/>
  <Override PartName="/xl/embeddings/oleObject36.bin" ContentType="application/vnd.openxmlformats-officedocument.oleObject"/>
  <Override PartName="/xl/embeddings/oleObject45.bin" ContentType="application/vnd.openxmlformats-officedocument.oleObject"/>
  <Override PartName="/xl/embeddings/oleObject54.bin" ContentType="application/vnd.openxmlformats-officedocument.oleObject"/>
  <Override PartName="/xl/embeddings/oleObject63.bin" ContentType="application/vnd.openxmlformats-officedocument.oleObject"/>
  <Override PartName="/xl/embeddings/oleObject72.bin" ContentType="application/vnd.openxmlformats-officedocument.oleObject"/>
  <Override PartName="/xl/embeddings/oleObject74.bin" ContentType="application/vnd.openxmlformats-officedocument.oleObject"/>
  <Override PartName="/xl/embeddings/oleObject83.bin" ContentType="application/vnd.openxmlformats-officedocument.oleObject"/>
  <Override PartName="/xl/embeddings/oleObject92.bin" ContentType="application/vnd.openxmlformats-officedocument.oleObject"/>
  <Override PartName="/xl/embeddings/oleObject106.bin" ContentType="application/vnd.openxmlformats-officedocument.oleObject"/>
  <Override PartName="/xl/embeddings/oleObject115.bin" ContentType="application/vnd.openxmlformats-officedocument.oleObject"/>
  <Override PartName="/docProps/core.xml" ContentType="application/vnd.openxmlformats-package.core-properties+xml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embeddings/oleObject52.bin" ContentType="application/vnd.openxmlformats-officedocument.oleObject"/>
  <Override PartName="/xl/embeddings/oleObject70.bin" ContentType="application/vnd.openxmlformats-officedocument.oleObject"/>
  <Override PartName="/xl/embeddings/oleObject81.bin" ContentType="application/vnd.openxmlformats-officedocument.oleObject"/>
  <Override PartName="/xl/embeddings/oleObject104.bin" ContentType="application/vnd.openxmlformats-officedocument.oleObject"/>
  <Override PartName="/xl/theme/theme1.xml" ContentType="application/vnd.openxmlformats-officedocument.theme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41.bin" ContentType="application/vnd.openxmlformats-officedocument.oleObject"/>
  <Override PartName="/xl/embeddings/oleObject111.bin" ContentType="application/vnd.openxmlformats-officedocument.oleObject"/>
  <Override PartName="/xl/embeddings/oleObject30.bin" ContentType="application/vnd.openxmlformats-officedocument.oleObject"/>
  <Default Extension="wmf" ContentType="image/x-wmf"/>
  <Override PartName="/xl/embeddings/oleObject100.bin" ContentType="application/vnd.openxmlformats-officedocument.oleObject"/>
  <Default Extension="rels" ContentType="application/vnd.openxmlformats-package.relationships+xml"/>
  <Override PartName="/xl/worksheets/sheet5.xml" ContentType="application/vnd.openxmlformats-officedocument.spreadsheetml.worksheet+xml"/>
  <Override PartName="/xl/embeddings/oleObject2.bin" ContentType="application/vnd.openxmlformats-officedocument.oleObject"/>
  <Override PartName="/xl/embeddings/oleObject79.bin" ContentType="application/vnd.openxmlformats-officedocument.oleObject"/>
  <Override PartName="/xl/worksheets/sheet1.xml" ContentType="application/vnd.openxmlformats-officedocument.spreadsheetml.worksheet+xml"/>
  <Override PartName="/xl/embeddings/oleObject39.bin" ContentType="application/vnd.openxmlformats-officedocument.oleObject"/>
  <Override PartName="/xl/embeddings/oleObject68.bin" ContentType="application/vnd.openxmlformats-officedocument.oleObject"/>
  <Override PartName="/xl/embeddings/oleObject86.bin" ContentType="application/vnd.openxmlformats-officedocument.oleObject"/>
  <Override PartName="/xl/embeddings/oleObject97.bin" ContentType="application/vnd.openxmlformats-officedocument.oleObject"/>
  <Override PartName="/xl/embeddings/oleObject109.bin" ContentType="application/vnd.openxmlformats-officedocument.oleObject"/>
  <Override PartName="/xl/embeddings/oleObject28.bin" ContentType="application/vnd.openxmlformats-officedocument.oleObject"/>
  <Override PartName="/xl/embeddings/oleObject46.bin" ContentType="application/vnd.openxmlformats-officedocument.oleObject"/>
  <Override PartName="/xl/embeddings/oleObject57.bin" ContentType="application/vnd.openxmlformats-officedocument.oleObject"/>
  <Override PartName="/xl/embeddings/oleObject75.bin" ContentType="application/vnd.openxmlformats-officedocument.oleObject"/>
  <Override PartName="/xl/embeddings/oleObject93.bin" ContentType="application/vnd.openxmlformats-officedocument.oleObject"/>
  <Override PartName="/xl/embeddings/oleObject17.bin" ContentType="application/vnd.openxmlformats-officedocument.oleObject"/>
  <Override PartName="/xl/embeddings/oleObject35.bin" ContentType="application/vnd.openxmlformats-officedocument.oleObject"/>
  <Override PartName="/xl/embeddings/oleObject64.bin" ContentType="application/vnd.openxmlformats-officedocument.oleObject"/>
  <Override PartName="/xl/embeddings/oleObject82.bin" ContentType="application/vnd.openxmlformats-officedocument.oleObject"/>
  <Override PartName="/xl/embeddings/oleObject105.bin" ContentType="application/vnd.openxmlformats-officedocument.oleObject"/>
  <Override PartName="/xl/embeddings/oleObject116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8475" windowHeight="6150" tabRatio="526"/>
  </bookViews>
  <sheets>
    <sheet name="vapor-press.-of-n-pentane" sheetId="3" r:id="rId1"/>
    <sheet name="vapor-press-of-n-hexane" sheetId="1" r:id="rId2"/>
    <sheet name="methyl-chloride" sheetId="7" r:id="rId3"/>
    <sheet name="Properties of Pure Species" sheetId="5" r:id="rId4"/>
    <sheet name="Table 4-4,Table4-5,Table 4-6" sheetId="4" r:id="rId5"/>
  </sheets>
  <definedNames>
    <definedName name="solver_adj" localSheetId="2" hidden="1">'methyl-chloride'!$G$37</definedName>
    <definedName name="solver_adj" localSheetId="0" hidden="1">'vapor-press.-of-n-pentane'!$G$37</definedName>
    <definedName name="solver_adj" localSheetId="1" hidden="1">'vapor-press-of-n-hexane'!$G$37</definedName>
    <definedName name="solver_cvg" localSheetId="2" hidden="1">0.0001</definedName>
    <definedName name="solver_cvg" localSheetId="0" hidden="1">0.0001</definedName>
    <definedName name="solver_cvg" localSheetId="1" hidden="1">0.0001</definedName>
    <definedName name="solver_drv" localSheetId="2" hidden="1">1</definedName>
    <definedName name="solver_drv" localSheetId="0" hidden="1">1</definedName>
    <definedName name="solver_drv" localSheetId="1" hidden="1">1</definedName>
    <definedName name="solver_est" localSheetId="2" hidden="1">1</definedName>
    <definedName name="solver_est" localSheetId="0" hidden="1">1</definedName>
    <definedName name="solver_est" localSheetId="1" hidden="1">1</definedName>
    <definedName name="solver_itr" localSheetId="2" hidden="1">100</definedName>
    <definedName name="solver_itr" localSheetId="0" hidden="1">100</definedName>
    <definedName name="solver_itr" localSheetId="1" hidden="1">100</definedName>
    <definedName name="solver_lin" localSheetId="2" hidden="1">2</definedName>
    <definedName name="solver_lin" localSheetId="0" hidden="1">2</definedName>
    <definedName name="solver_lin" localSheetId="1" hidden="1">2</definedName>
    <definedName name="solver_neg" localSheetId="2" hidden="1">2</definedName>
    <definedName name="solver_neg" localSheetId="0" hidden="1">2</definedName>
    <definedName name="solver_neg" localSheetId="1" hidden="1">2</definedName>
    <definedName name="solver_num" localSheetId="2" hidden="1">0</definedName>
    <definedName name="solver_num" localSheetId="0" hidden="1">0</definedName>
    <definedName name="solver_num" localSheetId="1" hidden="1">0</definedName>
    <definedName name="solver_nwt" localSheetId="2" hidden="1">1</definedName>
    <definedName name="solver_nwt" localSheetId="0" hidden="1">1</definedName>
    <definedName name="solver_nwt" localSheetId="1" hidden="1">1</definedName>
    <definedName name="solver_opt" localSheetId="2" hidden="1">'methyl-chloride'!$B$44</definedName>
    <definedName name="solver_opt" localSheetId="0" hidden="1">'vapor-press.-of-n-pentane'!$B$44</definedName>
    <definedName name="solver_opt" localSheetId="1" hidden="1">'vapor-press-of-n-hexane'!$B$44</definedName>
    <definedName name="solver_pre" localSheetId="2" hidden="1">0.000001</definedName>
    <definedName name="solver_pre" localSheetId="0" hidden="1">0.000001</definedName>
    <definedName name="solver_pre" localSheetId="1" hidden="1">0.000001</definedName>
    <definedName name="solver_scl" localSheetId="2" hidden="1">2</definedName>
    <definedName name="solver_scl" localSheetId="0" hidden="1">2</definedName>
    <definedName name="solver_scl" localSheetId="1" hidden="1">2</definedName>
    <definedName name="solver_sho" localSheetId="2" hidden="1">2</definedName>
    <definedName name="solver_sho" localSheetId="0" hidden="1">2</definedName>
    <definedName name="solver_sho" localSheetId="1" hidden="1">2</definedName>
    <definedName name="solver_tim" localSheetId="2" hidden="1">100</definedName>
    <definedName name="solver_tim" localSheetId="0" hidden="1">100</definedName>
    <definedName name="solver_tim" localSheetId="1" hidden="1">100</definedName>
    <definedName name="solver_tol" localSheetId="2" hidden="1">0.05</definedName>
    <definedName name="solver_tol" localSheetId="0" hidden="1">0.05</definedName>
    <definedName name="solver_tol" localSheetId="1" hidden="1">0.05</definedName>
    <definedName name="solver_typ" localSheetId="2" hidden="1">1</definedName>
    <definedName name="solver_typ" localSheetId="0" hidden="1">3</definedName>
    <definedName name="solver_typ" localSheetId="1" hidden="1">3</definedName>
    <definedName name="solver_val" localSheetId="2" hidden="1">0</definedName>
    <definedName name="solver_val" localSheetId="0" hidden="1">0</definedName>
    <definedName name="solver_val" localSheetId="1" hidden="1">0</definedName>
  </definedNames>
  <calcPr calcId="125725"/>
</workbook>
</file>

<file path=xl/calcChain.xml><?xml version="1.0" encoding="utf-8"?>
<calcChain xmlns="http://schemas.openxmlformats.org/spreadsheetml/2006/main">
  <c r="B103" i="7"/>
  <c r="B102"/>
  <c r="B101"/>
  <c r="B100"/>
  <c r="B105" s="1"/>
  <c r="B106" s="1"/>
  <c r="B107" s="1"/>
  <c r="B111" s="1"/>
  <c r="G35"/>
  <c r="B36"/>
  <c r="D74" s="1"/>
  <c r="D76"/>
  <c r="F76"/>
  <c r="F78" s="1"/>
  <c r="F74"/>
  <c r="F72"/>
  <c r="N57"/>
  <c r="O60"/>
  <c r="B38"/>
  <c r="B42" s="1"/>
  <c r="B40"/>
  <c r="B72"/>
  <c r="B78" s="1"/>
  <c r="D80" s="1"/>
  <c r="B74"/>
  <c r="B76"/>
  <c r="G35" i="3"/>
  <c r="B36"/>
  <c r="D72" s="1"/>
  <c r="B103" i="1"/>
  <c r="B105" s="1"/>
  <c r="B106" s="1"/>
  <c r="B107" s="1"/>
  <c r="B111" s="1"/>
  <c r="B102"/>
  <c r="B101"/>
  <c r="B100"/>
  <c r="B103" i="3"/>
  <c r="B102"/>
  <c r="B105" s="1"/>
  <c r="B106" s="1"/>
  <c r="B107" s="1"/>
  <c r="B111" s="1"/>
  <c r="B100"/>
  <c r="N57"/>
  <c r="O60" s="1"/>
  <c r="B38"/>
  <c r="B42" s="1"/>
  <c r="B40"/>
  <c r="O59" i="1"/>
  <c r="P62" s="1"/>
  <c r="B72"/>
  <c r="G35"/>
  <c r="B40"/>
  <c r="B38"/>
  <c r="B42" s="1"/>
  <c r="B36"/>
  <c r="B74" s="1"/>
  <c r="P63" l="1"/>
  <c r="P66" s="1"/>
  <c r="P64"/>
  <c r="O62" i="3"/>
  <c r="O61"/>
  <c r="O69"/>
  <c r="O64"/>
  <c r="O63"/>
  <c r="O68" s="1"/>
  <c r="O61" i="7"/>
  <c r="O64" s="1"/>
  <c r="O62"/>
  <c r="P71" i="1"/>
  <c r="B78"/>
  <c r="B80" s="1"/>
  <c r="B82" s="1"/>
  <c r="D74" i="3"/>
  <c r="D78" s="1"/>
  <c r="D80" s="1"/>
  <c r="B76" i="1"/>
  <c r="H78" s="1"/>
  <c r="H80" s="1"/>
  <c r="D76" i="3"/>
  <c r="B44" i="1"/>
  <c r="B76" i="3"/>
  <c r="B74"/>
  <c r="O69" i="7"/>
  <c r="D72"/>
  <c r="B72" i="3"/>
  <c r="P69" i="1" l="1"/>
  <c r="O67"/>
  <c r="O74" i="3"/>
  <c r="O67" i="7"/>
  <c r="D78"/>
  <c r="J78"/>
  <c r="J80" s="1"/>
  <c r="J78" i="3"/>
  <c r="J80" s="1"/>
  <c r="B78"/>
  <c r="B80" s="1"/>
  <c r="B82" s="1"/>
  <c r="P65" i="1"/>
  <c r="P70" s="1"/>
  <c r="N65" i="3"/>
  <c r="O67"/>
  <c r="O75" s="1"/>
  <c r="O63" i="7"/>
  <c r="O68" s="1"/>
  <c r="P77" i="1" l="1"/>
  <c r="P76"/>
  <c r="P75"/>
  <c r="O73" i="3"/>
  <c r="P78"/>
  <c r="P90" s="1"/>
  <c r="P92" s="1"/>
  <c r="G36"/>
  <c r="B44" s="1"/>
  <c r="P91"/>
  <c r="O75" i="7"/>
  <c r="O74"/>
  <c r="O73"/>
  <c r="B80"/>
  <c r="B82" s="1"/>
  <c r="F80"/>
  <c r="N65"/>
  <c r="P78" l="1"/>
  <c r="P90" s="1"/>
  <c r="P92" s="1"/>
  <c r="G36"/>
  <c r="B44" s="1"/>
  <c r="P91"/>
  <c r="P77" i="3"/>
  <c r="P84" s="1"/>
  <c r="P86" s="1"/>
  <c r="P85"/>
  <c r="P85" i="7"/>
  <c r="P77"/>
  <c r="P84" s="1"/>
  <c r="P86" s="1"/>
  <c r="Q79" i="1"/>
  <c r="Q86" s="1"/>
  <c r="Q87"/>
  <c r="Q80"/>
  <c r="Q92" s="1"/>
  <c r="Q94" s="1"/>
  <c r="Q93"/>
  <c r="Q88" l="1"/>
</calcChain>
</file>

<file path=xl/sharedStrings.xml><?xml version="1.0" encoding="utf-8"?>
<sst xmlns="http://schemas.openxmlformats.org/spreadsheetml/2006/main" count="349" uniqueCount="174">
  <si>
    <t>The Antoine equation:</t>
  </si>
  <si>
    <t xml:space="preserve">where the constants </t>
  </si>
  <si>
    <t>depend on the acentric factor</t>
  </si>
  <si>
    <t>Pc=</t>
  </si>
  <si>
    <t>bar</t>
  </si>
  <si>
    <t>Tc=</t>
  </si>
  <si>
    <t>K</t>
  </si>
  <si>
    <t>R=</t>
  </si>
  <si>
    <t>T=</t>
  </si>
  <si>
    <t>Tr=</t>
  </si>
  <si>
    <t>Antoine's Equation</t>
  </si>
  <si>
    <t>Pr=</t>
  </si>
  <si>
    <t>P=</t>
  </si>
  <si>
    <t>% dev=</t>
  </si>
  <si>
    <t>a=</t>
  </si>
  <si>
    <t>b=</t>
  </si>
  <si>
    <t>cm3-bar/mol.K</t>
  </si>
  <si>
    <t>c=</t>
  </si>
  <si>
    <t>Constants</t>
  </si>
  <si>
    <t>D=</t>
  </si>
  <si>
    <t>Q=</t>
  </si>
  <si>
    <t>theta=</t>
  </si>
  <si>
    <t>sqrt(Q)=</t>
  </si>
  <si>
    <t>a/3=</t>
  </si>
  <si>
    <t>The three real roots are:</t>
  </si>
  <si>
    <t>Compressibility factor Z =</t>
  </si>
  <si>
    <t>h=</t>
  </si>
  <si>
    <t>Fugacity coefficient for liquid =</t>
  </si>
  <si>
    <t>Calculation of fugacity coefficients for liquid and vapor phases:</t>
  </si>
  <si>
    <t>For liquid phase:</t>
  </si>
  <si>
    <t>For vapor phase:</t>
  </si>
  <si>
    <t>Soave-Redlich-Kwong equations:</t>
  </si>
  <si>
    <t>(Source: DeDoes, A. J, et. al., CEP, pp 39-44, Jan. 2007)</t>
  </si>
  <si>
    <t>Pv=</t>
  </si>
  <si>
    <t>A=</t>
  </si>
  <si>
    <t>B=</t>
  </si>
  <si>
    <t>C=</t>
  </si>
  <si>
    <t>E=</t>
  </si>
  <si>
    <t>log Pv=</t>
  </si>
  <si>
    <t>mm Hg</t>
  </si>
  <si>
    <t>Calculation of the Vapor pressure of n-pentane using Soave-Redlich-Kwong and Antoine's equations by A.K. Coker</t>
  </si>
  <si>
    <t>Calculation of the Vapor pressure n-hexane using Soave-Redlich-Kwong and Antoine's equations by A.K. Coker</t>
  </si>
  <si>
    <r>
      <t xml:space="preserve">The units of Tc must be absolute temperature in K or </t>
    </r>
    <r>
      <rPr>
        <vertAlign val="superscript"/>
        <sz val="10"/>
        <rFont val="Arial"/>
        <family val="2"/>
      </rPr>
      <t>o</t>
    </r>
    <r>
      <rPr>
        <sz val="10"/>
        <rFont val="Arial"/>
      </rPr>
      <t>R</t>
    </r>
  </si>
  <si>
    <t>(Source: De Does, A.J., et. al. CEP, pp 39-44, Jan. 2007)</t>
  </si>
  <si>
    <t>Characteristic Properties of Pure Species</t>
  </si>
  <si>
    <t>Methane</t>
  </si>
  <si>
    <t xml:space="preserve">Molar </t>
  </si>
  <si>
    <t>mass</t>
  </si>
  <si>
    <t>Ethane</t>
  </si>
  <si>
    <t>Propane</t>
  </si>
  <si>
    <t>n-Butane</t>
  </si>
  <si>
    <t>n-Pentane</t>
  </si>
  <si>
    <t>n-Hexane</t>
  </si>
  <si>
    <t>n-Heptane</t>
  </si>
  <si>
    <t>n-Octane</t>
  </si>
  <si>
    <t>n-Nonane</t>
  </si>
  <si>
    <t>n-Decane</t>
  </si>
  <si>
    <t>Isobutane</t>
  </si>
  <si>
    <t>Isooctane</t>
  </si>
  <si>
    <t>Cyclopentane</t>
  </si>
  <si>
    <t>Cyclohexane</t>
  </si>
  <si>
    <t>Methylcyclopentane</t>
  </si>
  <si>
    <t>Methycyclohexane</t>
  </si>
  <si>
    <t>Ethylene</t>
  </si>
  <si>
    <t>Propylene</t>
  </si>
  <si>
    <t>1-Butene</t>
  </si>
  <si>
    <t>cis-2-Butene</t>
  </si>
  <si>
    <t>trans-2-Butene</t>
  </si>
  <si>
    <t>1-Hexene</t>
  </si>
  <si>
    <t>Isobutylene</t>
  </si>
  <si>
    <t>1,3-Butadiene</t>
  </si>
  <si>
    <t>Cyclohexene</t>
  </si>
  <si>
    <t>Acetylene</t>
  </si>
  <si>
    <t>Benzene</t>
  </si>
  <si>
    <t>Toulene</t>
  </si>
  <si>
    <t>Ethylbenzene</t>
  </si>
  <si>
    <t>Cumene</t>
  </si>
  <si>
    <t>o-Xylene</t>
  </si>
  <si>
    <t>m-Xylene</t>
  </si>
  <si>
    <t>p-Xylene</t>
  </si>
  <si>
    <t>Styrene</t>
  </si>
  <si>
    <t>Naphtalene</t>
  </si>
  <si>
    <t>Biphenyl</t>
  </si>
  <si>
    <t>Formaldehyde</t>
  </si>
  <si>
    <t>Acetaldehyde</t>
  </si>
  <si>
    <t>Methyl acetate</t>
  </si>
  <si>
    <t>Acetone</t>
  </si>
  <si>
    <t>Methyl ethyl ketone</t>
  </si>
  <si>
    <t>Diethyl ether</t>
  </si>
  <si>
    <t>Methyl t-butyl ether</t>
  </si>
  <si>
    <t xml:space="preserve">Acentric </t>
  </si>
  <si>
    <t>factor</t>
  </si>
  <si>
    <t>Methanol</t>
  </si>
  <si>
    <t>Ethanol</t>
  </si>
  <si>
    <t>1-Propanol</t>
  </si>
  <si>
    <t>1-Butanol</t>
  </si>
  <si>
    <t>1-Hexanol</t>
  </si>
  <si>
    <t>2-Propanol</t>
  </si>
  <si>
    <t>Phenol</t>
  </si>
  <si>
    <t>Ethylene glycol</t>
  </si>
  <si>
    <t>Acetic acid</t>
  </si>
  <si>
    <t>n-Butyric acid</t>
  </si>
  <si>
    <t>Acetonitrile</t>
  </si>
  <si>
    <t>Methylamine</t>
  </si>
  <si>
    <t>Ethylamine</t>
  </si>
  <si>
    <t>Nitromethane</t>
  </si>
  <si>
    <t>Carbon tetrachloride</t>
  </si>
  <si>
    <t>Chloroform</t>
  </si>
  <si>
    <t>Dichloromethane</t>
  </si>
  <si>
    <t>Methyl chloride</t>
  </si>
  <si>
    <t>Ethyl chloride</t>
  </si>
  <si>
    <t>Chlorobenzene</t>
  </si>
  <si>
    <t>Tetrafluoroethane</t>
  </si>
  <si>
    <t>Argon</t>
  </si>
  <si>
    <t>Krypton</t>
  </si>
  <si>
    <t>Xenon</t>
  </si>
  <si>
    <t>Helium 4</t>
  </si>
  <si>
    <t>Hydrogen</t>
  </si>
  <si>
    <t>Oxygene</t>
  </si>
  <si>
    <t>Nitrogen</t>
  </si>
  <si>
    <t>Air</t>
  </si>
  <si>
    <t>Chlorine</t>
  </si>
  <si>
    <t>Carbon monoxide</t>
  </si>
  <si>
    <t>Carbon dioxide</t>
  </si>
  <si>
    <t>Carbon disulfide</t>
  </si>
  <si>
    <t>Hydrogen sulfide</t>
  </si>
  <si>
    <t>Sulfur dioxide</t>
  </si>
  <si>
    <t>Sulfur trioxide</t>
  </si>
  <si>
    <t>Nitiric oxide (NO)</t>
  </si>
  <si>
    <t>Hydrogen cyanide</t>
  </si>
  <si>
    <t>Water</t>
  </si>
  <si>
    <t>Ammonia</t>
  </si>
  <si>
    <t>Nitric acid</t>
  </si>
  <si>
    <t>Sulfuric acid</t>
  </si>
  <si>
    <t>Calculation of the Vapor pressure of methyl chloride using Soave-Redlich-Kwong and Antoine's equations by A.K. Coker</t>
  </si>
  <si>
    <t>% dev between SRK and calculated Pv value from Vol. 1 Ludwig's Applied Process design for Chemical &amp; Petrochemical plants pp. 109.</t>
  </si>
  <si>
    <t>%</t>
  </si>
  <si>
    <t>Ethyl acetate</t>
  </si>
  <si>
    <t>Benzoic acid</t>
  </si>
  <si>
    <t>Hydrogen chloride</t>
  </si>
  <si>
    <t>critical temperature</t>
  </si>
  <si>
    <t>critical pressure</t>
  </si>
  <si>
    <t>critical volume</t>
  </si>
  <si>
    <t>critical compressibility factor</t>
  </si>
  <si>
    <t>normal boiling point.</t>
  </si>
  <si>
    <t>V=</t>
  </si>
  <si>
    <t xml:space="preserve">(Source: </t>
  </si>
  <si>
    <r>
      <t>cm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-bar/mol-K</t>
    </r>
  </si>
  <si>
    <r>
      <t>cm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/mol</t>
    </r>
  </si>
  <si>
    <r>
      <t>cm</t>
    </r>
    <r>
      <rPr>
        <vertAlign val="superscript"/>
        <sz val="12"/>
        <rFont val="Times New Roman"/>
        <family val="1"/>
      </rPr>
      <t>6</t>
    </r>
    <r>
      <rPr>
        <sz val="12"/>
        <rFont val="Times New Roman"/>
        <family val="1"/>
      </rPr>
      <t>-bar/mol</t>
    </r>
    <r>
      <rPr>
        <vertAlign val="superscript"/>
        <sz val="12"/>
        <rFont val="Times New Roman"/>
        <family val="1"/>
      </rPr>
      <t>2</t>
    </r>
  </si>
  <si>
    <r>
      <t>V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=</t>
    </r>
  </si>
  <si>
    <r>
      <t>V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=</t>
    </r>
  </si>
  <si>
    <r>
      <t>V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=</t>
    </r>
  </si>
  <si>
    <r>
      <t>The liquid molar volume is V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=</t>
    </r>
  </si>
  <si>
    <r>
      <t>The vapor molar  volume is V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=</t>
    </r>
  </si>
  <si>
    <r>
      <t>The units of P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must be absolute pressure. Vapor pressure P* in Eq. 4-22  will have the same units as P</t>
    </r>
    <r>
      <rPr>
        <vertAlign val="superscript"/>
        <sz val="10"/>
        <rFont val="Arial"/>
        <family val="2"/>
      </rPr>
      <t>c</t>
    </r>
  </si>
  <si>
    <r>
      <t xml:space="preserve">Temperature T in Eq..4-22  in </t>
    </r>
    <r>
      <rPr>
        <vertAlign val="superscript"/>
        <sz val="10"/>
        <rFont val="Arial"/>
        <family val="2"/>
      </rPr>
      <t>o</t>
    </r>
    <r>
      <rPr>
        <sz val="10"/>
        <rFont val="Arial"/>
      </rPr>
      <t>C and T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in K</t>
    </r>
  </si>
  <si>
    <r>
      <t xml:space="preserve">Temperature T in Eq. 4-22  in </t>
    </r>
    <r>
      <rPr>
        <vertAlign val="superscript"/>
        <sz val="10"/>
        <rFont val="Arial"/>
        <family val="2"/>
      </rPr>
      <t>o</t>
    </r>
    <r>
      <rPr>
        <sz val="10"/>
        <rFont val="Arial"/>
      </rPr>
      <t xml:space="preserve">F and Tc in </t>
    </r>
    <r>
      <rPr>
        <vertAlign val="superscript"/>
        <sz val="10"/>
        <rFont val="Arial"/>
        <family val="2"/>
      </rPr>
      <t>o</t>
    </r>
    <r>
      <rPr>
        <sz val="10"/>
        <rFont val="Arial"/>
      </rPr>
      <t>R</t>
    </r>
  </si>
  <si>
    <r>
      <t>Temperature T in Eq. 4-22 will have the same units as T</t>
    </r>
    <r>
      <rPr>
        <vertAlign val="subscript"/>
        <sz val="10"/>
        <rFont val="Arial"/>
        <family val="2"/>
      </rPr>
      <t>c</t>
    </r>
  </si>
  <si>
    <t>Table 4-4 Generalized Antoine constant functions for the SRK equation</t>
  </si>
  <si>
    <t>Table 4-5 Generalized Antoine constant functions for the PR equation</t>
  </si>
  <si>
    <t>Table 4-6 Transforming Antoine constants A', B' and C' from Table 4-5 to dimensional constants A, B and C for use with Eq. 4-22</t>
  </si>
  <si>
    <r>
      <t>T</t>
    </r>
    <r>
      <rPr>
        <vertAlign val="subscript"/>
        <sz val="14"/>
        <color indexed="8"/>
        <rFont val="Times New Roman"/>
        <family val="1"/>
      </rPr>
      <t>c</t>
    </r>
  </si>
  <si>
    <r>
      <t>P</t>
    </r>
    <r>
      <rPr>
        <vertAlign val="subscript"/>
        <sz val="14"/>
        <color indexed="8"/>
        <rFont val="Times New Roman"/>
        <family val="1"/>
      </rPr>
      <t>c</t>
    </r>
  </si>
  <si>
    <r>
      <t>Z</t>
    </r>
    <r>
      <rPr>
        <vertAlign val="subscript"/>
        <sz val="14"/>
        <color indexed="8"/>
        <rFont val="Times New Roman"/>
        <family val="1"/>
      </rPr>
      <t>c</t>
    </r>
  </si>
  <si>
    <r>
      <t>V</t>
    </r>
    <r>
      <rPr>
        <vertAlign val="subscript"/>
        <sz val="14"/>
        <color indexed="8"/>
        <rFont val="Times New Roman"/>
        <family val="1"/>
      </rPr>
      <t>c</t>
    </r>
  </si>
  <si>
    <r>
      <t>T</t>
    </r>
    <r>
      <rPr>
        <vertAlign val="subscript"/>
        <sz val="14"/>
        <color indexed="8"/>
        <rFont val="Times New Roman"/>
        <family val="1"/>
      </rPr>
      <t>n</t>
    </r>
  </si>
  <si>
    <r>
      <t>cm</t>
    </r>
    <r>
      <rPr>
        <vertAlign val="superscript"/>
        <sz val="14"/>
        <color indexed="8"/>
        <rFont val="Times New Roman"/>
        <family val="1"/>
      </rPr>
      <t>3</t>
    </r>
    <r>
      <rPr>
        <sz val="14"/>
        <color indexed="8"/>
        <rFont val="Times New Roman"/>
        <family val="1"/>
      </rPr>
      <t>/mol</t>
    </r>
  </si>
  <si>
    <r>
      <t>Nitrous oxide (N</t>
    </r>
    <r>
      <rPr>
        <vertAlign val="subscript"/>
        <sz val="14"/>
        <color indexed="8"/>
        <rFont val="Times New Roman"/>
        <family val="1"/>
      </rPr>
      <t>2</t>
    </r>
    <r>
      <rPr>
        <sz val="14"/>
        <color indexed="8"/>
        <rFont val="Times New Roman"/>
        <family val="1"/>
      </rPr>
      <t>O)</t>
    </r>
  </si>
  <si>
    <r>
      <t>T</t>
    </r>
    <r>
      <rPr>
        <vertAlign val="subscript"/>
        <sz val="14"/>
        <rFont val="Times New Roman"/>
        <family val="1"/>
      </rPr>
      <t>c</t>
    </r>
  </si>
  <si>
    <r>
      <t>P</t>
    </r>
    <r>
      <rPr>
        <vertAlign val="subscript"/>
        <sz val="14"/>
        <rFont val="Times New Roman"/>
        <family val="1"/>
      </rPr>
      <t>c</t>
    </r>
  </si>
  <si>
    <r>
      <t>V</t>
    </r>
    <r>
      <rPr>
        <vertAlign val="subscript"/>
        <sz val="14"/>
        <rFont val="Times New Roman"/>
        <family val="1"/>
      </rPr>
      <t>c</t>
    </r>
  </si>
  <si>
    <r>
      <t>Z</t>
    </r>
    <r>
      <rPr>
        <vertAlign val="subscript"/>
        <sz val="14"/>
        <rFont val="Times New Roman"/>
        <family val="1"/>
      </rPr>
      <t>c</t>
    </r>
  </si>
  <si>
    <r>
      <t>T</t>
    </r>
    <r>
      <rPr>
        <vertAlign val="subscript"/>
        <sz val="14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</si>
</sst>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8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2"/>
      <name val="Times New Roman"/>
      <family val="1"/>
    </font>
    <font>
      <vertAlign val="superscript"/>
      <sz val="12"/>
      <name val="Times New Roman"/>
      <family val="1"/>
    </font>
    <font>
      <vertAlign val="subscript"/>
      <sz val="12"/>
      <name val="Times New Roman"/>
      <family val="1"/>
    </font>
    <font>
      <sz val="14"/>
      <name val="Times New Roman"/>
      <family val="1"/>
    </font>
    <font>
      <vertAlign val="subscript"/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vertAlign val="subscript"/>
      <sz val="14"/>
      <color indexed="8"/>
      <name val="Times New Roman"/>
      <family val="1"/>
    </font>
    <font>
      <vertAlign val="superscript"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4" fillId="0" borderId="0" xfId="0" applyFont="1"/>
    <xf numFmtId="0" fontId="4" fillId="0" borderId="0" xfId="0" applyFont="1" applyBorder="1" applyAlignment="1">
      <alignment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right"/>
    </xf>
    <xf numFmtId="0" fontId="4" fillId="0" borderId="6" xfId="0" applyFont="1" applyBorder="1" applyAlignment="1"/>
    <xf numFmtId="0" fontId="4" fillId="0" borderId="7" xfId="0" applyFont="1" applyBorder="1"/>
    <xf numFmtId="0" fontId="4" fillId="0" borderId="8" xfId="0" applyFont="1" applyBorder="1"/>
    <xf numFmtId="0" fontId="7" fillId="0" borderId="0" xfId="0" applyFont="1"/>
    <xf numFmtId="0" fontId="7" fillId="0" borderId="1" xfId="0" applyFont="1" applyBorder="1"/>
    <xf numFmtId="0" fontId="9" fillId="0" borderId="0" xfId="0" applyFont="1" applyBorder="1"/>
    <xf numFmtId="0" fontId="9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w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wmf"/><Relationship Id="rId26" Type="http://schemas.openxmlformats.org/officeDocument/2006/relationships/image" Target="../media/image26.w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wmf"/><Relationship Id="rId25" Type="http://schemas.openxmlformats.org/officeDocument/2006/relationships/image" Target="../media/image25.w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w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w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wmf"/><Relationship Id="rId28" Type="http://schemas.openxmlformats.org/officeDocument/2006/relationships/image" Target="../media/image28.wmf"/><Relationship Id="rId10" Type="http://schemas.openxmlformats.org/officeDocument/2006/relationships/image" Target="../media/image10.emf"/><Relationship Id="rId19" Type="http://schemas.openxmlformats.org/officeDocument/2006/relationships/image" Target="../media/image19.w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wmf"/><Relationship Id="rId27" Type="http://schemas.openxmlformats.org/officeDocument/2006/relationships/image" Target="../media/image27.w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31.emf"/><Relationship Id="rId18" Type="http://schemas.openxmlformats.org/officeDocument/2006/relationships/image" Target="../media/image15.emf"/><Relationship Id="rId26" Type="http://schemas.openxmlformats.org/officeDocument/2006/relationships/image" Target="../media/image20.emf"/><Relationship Id="rId3" Type="http://schemas.openxmlformats.org/officeDocument/2006/relationships/image" Target="../media/image3.emf"/><Relationship Id="rId21" Type="http://schemas.openxmlformats.org/officeDocument/2006/relationships/image" Target="../media/image22.w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4.emf"/><Relationship Id="rId25" Type="http://schemas.openxmlformats.org/officeDocument/2006/relationships/image" Target="../media/image19.wmf"/><Relationship Id="rId2" Type="http://schemas.openxmlformats.org/officeDocument/2006/relationships/image" Target="../media/image2.emf"/><Relationship Id="rId16" Type="http://schemas.openxmlformats.org/officeDocument/2006/relationships/image" Target="../media/image13.emf"/><Relationship Id="rId20" Type="http://schemas.openxmlformats.org/officeDocument/2006/relationships/image" Target="../media/image34.emf"/><Relationship Id="rId29" Type="http://schemas.openxmlformats.org/officeDocument/2006/relationships/image" Target="../media/image29.w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35.emf"/><Relationship Id="rId5" Type="http://schemas.openxmlformats.org/officeDocument/2006/relationships/image" Target="../media/image5.emf"/><Relationship Id="rId15" Type="http://schemas.openxmlformats.org/officeDocument/2006/relationships/image" Target="../media/image33.emf"/><Relationship Id="rId23" Type="http://schemas.openxmlformats.org/officeDocument/2006/relationships/image" Target="../media/image26.wmf"/><Relationship Id="rId28" Type="http://schemas.openxmlformats.org/officeDocument/2006/relationships/image" Target="../media/image28.wmf"/><Relationship Id="rId10" Type="http://schemas.openxmlformats.org/officeDocument/2006/relationships/image" Target="../media/image10.emf"/><Relationship Id="rId19" Type="http://schemas.openxmlformats.org/officeDocument/2006/relationships/image" Target="../media/image16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32.emf"/><Relationship Id="rId22" Type="http://schemas.openxmlformats.org/officeDocument/2006/relationships/image" Target="../media/image17.wmf"/><Relationship Id="rId27" Type="http://schemas.openxmlformats.org/officeDocument/2006/relationships/image" Target="../media/image27.w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wmf"/><Relationship Id="rId26" Type="http://schemas.openxmlformats.org/officeDocument/2006/relationships/image" Target="../media/image26.wmf"/><Relationship Id="rId3" Type="http://schemas.openxmlformats.org/officeDocument/2006/relationships/image" Target="../media/image3.emf"/><Relationship Id="rId21" Type="http://schemas.openxmlformats.org/officeDocument/2006/relationships/image" Target="../media/image37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wmf"/><Relationship Id="rId25" Type="http://schemas.openxmlformats.org/officeDocument/2006/relationships/image" Target="../media/image25.w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36.wmf"/><Relationship Id="rId29" Type="http://schemas.openxmlformats.org/officeDocument/2006/relationships/image" Target="../media/image29.w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w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wmf"/><Relationship Id="rId28" Type="http://schemas.openxmlformats.org/officeDocument/2006/relationships/image" Target="../media/image28.wmf"/><Relationship Id="rId10" Type="http://schemas.openxmlformats.org/officeDocument/2006/relationships/image" Target="../media/image10.emf"/><Relationship Id="rId19" Type="http://schemas.openxmlformats.org/officeDocument/2006/relationships/image" Target="../media/image19.w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wmf"/><Relationship Id="rId27" Type="http://schemas.openxmlformats.org/officeDocument/2006/relationships/image" Target="../media/image27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36.wmf"/><Relationship Id="rId13" Type="http://schemas.openxmlformats.org/officeDocument/2006/relationships/image" Target="../media/image39.wmf"/><Relationship Id="rId18" Type="http://schemas.openxmlformats.org/officeDocument/2006/relationships/image" Target="../media/image44.wmf"/><Relationship Id="rId3" Type="http://schemas.openxmlformats.org/officeDocument/2006/relationships/image" Target="../media/image24.wmf"/><Relationship Id="rId21" Type="http://schemas.openxmlformats.org/officeDocument/2006/relationships/image" Target="../media/image47.emf"/><Relationship Id="rId7" Type="http://schemas.openxmlformats.org/officeDocument/2006/relationships/image" Target="../media/image19.wmf"/><Relationship Id="rId12" Type="http://schemas.openxmlformats.org/officeDocument/2006/relationships/image" Target="../media/image29.wmf"/><Relationship Id="rId17" Type="http://schemas.openxmlformats.org/officeDocument/2006/relationships/image" Target="../media/image43.wmf"/><Relationship Id="rId25" Type="http://schemas.openxmlformats.org/officeDocument/2006/relationships/image" Target="../media/image51.emf"/><Relationship Id="rId2" Type="http://schemas.openxmlformats.org/officeDocument/2006/relationships/image" Target="../media/image23.wmf"/><Relationship Id="rId16" Type="http://schemas.openxmlformats.org/officeDocument/2006/relationships/image" Target="../media/image42.wmf"/><Relationship Id="rId20" Type="http://schemas.openxmlformats.org/officeDocument/2006/relationships/image" Target="../media/image46.wmf"/><Relationship Id="rId1" Type="http://schemas.openxmlformats.org/officeDocument/2006/relationships/image" Target="../media/image22.wmf"/><Relationship Id="rId6" Type="http://schemas.openxmlformats.org/officeDocument/2006/relationships/image" Target="../media/image18.wmf"/><Relationship Id="rId11" Type="http://schemas.openxmlformats.org/officeDocument/2006/relationships/image" Target="../media/image28.wmf"/><Relationship Id="rId24" Type="http://schemas.openxmlformats.org/officeDocument/2006/relationships/image" Target="../media/image50.emf"/><Relationship Id="rId5" Type="http://schemas.openxmlformats.org/officeDocument/2006/relationships/image" Target="../media/image17.wmf"/><Relationship Id="rId15" Type="http://schemas.openxmlformats.org/officeDocument/2006/relationships/image" Target="../media/image41.wmf"/><Relationship Id="rId23" Type="http://schemas.openxmlformats.org/officeDocument/2006/relationships/image" Target="../media/image49.emf"/><Relationship Id="rId10" Type="http://schemas.openxmlformats.org/officeDocument/2006/relationships/image" Target="../media/image27.wmf"/><Relationship Id="rId19" Type="http://schemas.openxmlformats.org/officeDocument/2006/relationships/image" Target="../media/image45.wmf"/><Relationship Id="rId4" Type="http://schemas.openxmlformats.org/officeDocument/2006/relationships/image" Target="../media/image25.wmf"/><Relationship Id="rId9" Type="http://schemas.openxmlformats.org/officeDocument/2006/relationships/image" Target="../media/image26.wmf"/><Relationship Id="rId14" Type="http://schemas.openxmlformats.org/officeDocument/2006/relationships/image" Target="../media/image40.wmf"/><Relationship Id="rId22" Type="http://schemas.openxmlformats.org/officeDocument/2006/relationships/image" Target="../media/image4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56</xdr:row>
      <xdr:rowOff>95250</xdr:rowOff>
    </xdr:from>
    <xdr:to>
      <xdr:col>6</xdr:col>
      <xdr:colOff>209550</xdr:colOff>
      <xdr:row>58</xdr:row>
      <xdr:rowOff>0</xdr:rowOff>
    </xdr:to>
    <xdr:pic>
      <xdr:nvPicPr>
        <xdr:cNvPr id="105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1487150"/>
          <a:ext cx="392430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26" Type="http://schemas.openxmlformats.org/officeDocument/2006/relationships/oleObject" Target="../embeddings/oleObject24.bin"/><Relationship Id="rId3" Type="http://schemas.openxmlformats.org/officeDocument/2006/relationships/oleObject" Target="../embeddings/oleObject1.bin"/><Relationship Id="rId21" Type="http://schemas.openxmlformats.org/officeDocument/2006/relationships/oleObject" Target="../embeddings/oleObject19.bin"/><Relationship Id="rId34" Type="http://schemas.openxmlformats.org/officeDocument/2006/relationships/oleObject" Target="../embeddings/oleObject32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5" Type="http://schemas.openxmlformats.org/officeDocument/2006/relationships/oleObject" Target="../embeddings/oleObject23.bin"/><Relationship Id="rId33" Type="http://schemas.openxmlformats.org/officeDocument/2006/relationships/oleObject" Target="../embeddings/oleObject31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20" Type="http://schemas.openxmlformats.org/officeDocument/2006/relationships/oleObject" Target="../embeddings/oleObject18.bin"/><Relationship Id="rId29" Type="http://schemas.openxmlformats.org/officeDocument/2006/relationships/oleObject" Target="../embeddings/oleObject2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24" Type="http://schemas.openxmlformats.org/officeDocument/2006/relationships/oleObject" Target="../embeddings/oleObject22.bin"/><Relationship Id="rId32" Type="http://schemas.openxmlformats.org/officeDocument/2006/relationships/oleObject" Target="../embeddings/oleObject30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23" Type="http://schemas.openxmlformats.org/officeDocument/2006/relationships/oleObject" Target="../embeddings/oleObject21.bin"/><Relationship Id="rId28" Type="http://schemas.openxmlformats.org/officeDocument/2006/relationships/oleObject" Target="../embeddings/oleObject26.bin"/><Relationship Id="rId10" Type="http://schemas.openxmlformats.org/officeDocument/2006/relationships/oleObject" Target="../embeddings/oleObject8.bin"/><Relationship Id="rId19" Type="http://schemas.openxmlformats.org/officeDocument/2006/relationships/oleObject" Target="../embeddings/oleObject17.bin"/><Relationship Id="rId31" Type="http://schemas.openxmlformats.org/officeDocument/2006/relationships/oleObject" Target="../embeddings/oleObject29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Relationship Id="rId22" Type="http://schemas.openxmlformats.org/officeDocument/2006/relationships/oleObject" Target="../embeddings/oleObject20.bin"/><Relationship Id="rId27" Type="http://schemas.openxmlformats.org/officeDocument/2006/relationships/oleObject" Target="../embeddings/oleObject25.bin"/><Relationship Id="rId30" Type="http://schemas.openxmlformats.org/officeDocument/2006/relationships/oleObject" Target="../embeddings/oleObject2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7.bin"/><Relationship Id="rId13" Type="http://schemas.openxmlformats.org/officeDocument/2006/relationships/oleObject" Target="../embeddings/oleObject42.bin"/><Relationship Id="rId18" Type="http://schemas.openxmlformats.org/officeDocument/2006/relationships/oleObject" Target="../embeddings/oleObject47.bin"/><Relationship Id="rId26" Type="http://schemas.openxmlformats.org/officeDocument/2006/relationships/oleObject" Target="../embeddings/oleObject55.bin"/><Relationship Id="rId3" Type="http://schemas.openxmlformats.org/officeDocument/2006/relationships/vmlDrawing" Target="../drawings/vmlDrawing2.vml"/><Relationship Id="rId21" Type="http://schemas.openxmlformats.org/officeDocument/2006/relationships/oleObject" Target="../embeddings/oleObject50.bin"/><Relationship Id="rId34" Type="http://schemas.openxmlformats.org/officeDocument/2006/relationships/oleObject" Target="../embeddings/oleObject63.bin"/><Relationship Id="rId7" Type="http://schemas.openxmlformats.org/officeDocument/2006/relationships/oleObject" Target="../embeddings/oleObject36.bin"/><Relationship Id="rId12" Type="http://schemas.openxmlformats.org/officeDocument/2006/relationships/oleObject" Target="../embeddings/oleObject41.bin"/><Relationship Id="rId17" Type="http://schemas.openxmlformats.org/officeDocument/2006/relationships/oleObject" Target="../embeddings/oleObject46.bin"/><Relationship Id="rId25" Type="http://schemas.openxmlformats.org/officeDocument/2006/relationships/oleObject" Target="../embeddings/oleObject54.bin"/><Relationship Id="rId33" Type="http://schemas.openxmlformats.org/officeDocument/2006/relationships/oleObject" Target="../embeddings/oleObject62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45.bin"/><Relationship Id="rId20" Type="http://schemas.openxmlformats.org/officeDocument/2006/relationships/oleObject" Target="../embeddings/oleObject49.bin"/><Relationship Id="rId29" Type="http://schemas.openxmlformats.org/officeDocument/2006/relationships/oleObject" Target="../embeddings/oleObject58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5.bin"/><Relationship Id="rId11" Type="http://schemas.openxmlformats.org/officeDocument/2006/relationships/oleObject" Target="../embeddings/oleObject40.bin"/><Relationship Id="rId24" Type="http://schemas.openxmlformats.org/officeDocument/2006/relationships/oleObject" Target="../embeddings/oleObject53.bin"/><Relationship Id="rId32" Type="http://schemas.openxmlformats.org/officeDocument/2006/relationships/oleObject" Target="../embeddings/oleObject61.bin"/><Relationship Id="rId5" Type="http://schemas.openxmlformats.org/officeDocument/2006/relationships/oleObject" Target="../embeddings/oleObject34.bin"/><Relationship Id="rId15" Type="http://schemas.openxmlformats.org/officeDocument/2006/relationships/oleObject" Target="../embeddings/oleObject44.bin"/><Relationship Id="rId23" Type="http://schemas.openxmlformats.org/officeDocument/2006/relationships/oleObject" Target="../embeddings/oleObject52.bin"/><Relationship Id="rId28" Type="http://schemas.openxmlformats.org/officeDocument/2006/relationships/oleObject" Target="../embeddings/oleObject57.bin"/><Relationship Id="rId10" Type="http://schemas.openxmlformats.org/officeDocument/2006/relationships/oleObject" Target="../embeddings/oleObject39.bin"/><Relationship Id="rId19" Type="http://schemas.openxmlformats.org/officeDocument/2006/relationships/oleObject" Target="../embeddings/oleObject48.bin"/><Relationship Id="rId31" Type="http://schemas.openxmlformats.org/officeDocument/2006/relationships/oleObject" Target="../embeddings/oleObject60.bin"/><Relationship Id="rId4" Type="http://schemas.openxmlformats.org/officeDocument/2006/relationships/oleObject" Target="../embeddings/oleObject33.bin"/><Relationship Id="rId9" Type="http://schemas.openxmlformats.org/officeDocument/2006/relationships/oleObject" Target="../embeddings/oleObject38.bin"/><Relationship Id="rId14" Type="http://schemas.openxmlformats.org/officeDocument/2006/relationships/oleObject" Target="../embeddings/oleObject43.bin"/><Relationship Id="rId22" Type="http://schemas.openxmlformats.org/officeDocument/2006/relationships/oleObject" Target="../embeddings/oleObject51.bin"/><Relationship Id="rId27" Type="http://schemas.openxmlformats.org/officeDocument/2006/relationships/oleObject" Target="../embeddings/oleObject56.bin"/><Relationship Id="rId30" Type="http://schemas.openxmlformats.org/officeDocument/2006/relationships/oleObject" Target="../embeddings/oleObject5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9.bin"/><Relationship Id="rId13" Type="http://schemas.openxmlformats.org/officeDocument/2006/relationships/oleObject" Target="../embeddings/oleObject74.bin"/><Relationship Id="rId18" Type="http://schemas.openxmlformats.org/officeDocument/2006/relationships/oleObject" Target="../embeddings/oleObject79.bin"/><Relationship Id="rId26" Type="http://schemas.openxmlformats.org/officeDocument/2006/relationships/oleObject" Target="../embeddings/oleObject87.bin"/><Relationship Id="rId3" Type="http://schemas.openxmlformats.org/officeDocument/2006/relationships/oleObject" Target="../embeddings/oleObject64.bin"/><Relationship Id="rId21" Type="http://schemas.openxmlformats.org/officeDocument/2006/relationships/oleObject" Target="../embeddings/oleObject82.bin"/><Relationship Id="rId34" Type="http://schemas.openxmlformats.org/officeDocument/2006/relationships/oleObject" Target="../embeddings/oleObject95.bin"/><Relationship Id="rId7" Type="http://schemas.openxmlformats.org/officeDocument/2006/relationships/oleObject" Target="../embeddings/oleObject68.bin"/><Relationship Id="rId12" Type="http://schemas.openxmlformats.org/officeDocument/2006/relationships/oleObject" Target="../embeddings/oleObject73.bin"/><Relationship Id="rId17" Type="http://schemas.openxmlformats.org/officeDocument/2006/relationships/oleObject" Target="../embeddings/oleObject78.bin"/><Relationship Id="rId25" Type="http://schemas.openxmlformats.org/officeDocument/2006/relationships/oleObject" Target="../embeddings/oleObject86.bin"/><Relationship Id="rId33" Type="http://schemas.openxmlformats.org/officeDocument/2006/relationships/oleObject" Target="../embeddings/oleObject94.bin"/><Relationship Id="rId2" Type="http://schemas.openxmlformats.org/officeDocument/2006/relationships/vmlDrawing" Target="../drawings/vmlDrawing3.vml"/><Relationship Id="rId16" Type="http://schemas.openxmlformats.org/officeDocument/2006/relationships/oleObject" Target="../embeddings/oleObject77.bin"/><Relationship Id="rId20" Type="http://schemas.openxmlformats.org/officeDocument/2006/relationships/oleObject" Target="../embeddings/oleObject81.bin"/><Relationship Id="rId29" Type="http://schemas.openxmlformats.org/officeDocument/2006/relationships/oleObject" Target="../embeddings/oleObject90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7.bin"/><Relationship Id="rId11" Type="http://schemas.openxmlformats.org/officeDocument/2006/relationships/oleObject" Target="../embeddings/oleObject72.bin"/><Relationship Id="rId24" Type="http://schemas.openxmlformats.org/officeDocument/2006/relationships/oleObject" Target="../embeddings/oleObject85.bin"/><Relationship Id="rId32" Type="http://schemas.openxmlformats.org/officeDocument/2006/relationships/oleObject" Target="../embeddings/oleObject93.bin"/><Relationship Id="rId5" Type="http://schemas.openxmlformats.org/officeDocument/2006/relationships/oleObject" Target="../embeddings/oleObject66.bin"/><Relationship Id="rId15" Type="http://schemas.openxmlformats.org/officeDocument/2006/relationships/oleObject" Target="../embeddings/oleObject76.bin"/><Relationship Id="rId23" Type="http://schemas.openxmlformats.org/officeDocument/2006/relationships/oleObject" Target="../embeddings/oleObject84.bin"/><Relationship Id="rId28" Type="http://schemas.openxmlformats.org/officeDocument/2006/relationships/oleObject" Target="../embeddings/oleObject89.bin"/><Relationship Id="rId10" Type="http://schemas.openxmlformats.org/officeDocument/2006/relationships/oleObject" Target="../embeddings/oleObject71.bin"/><Relationship Id="rId19" Type="http://schemas.openxmlformats.org/officeDocument/2006/relationships/oleObject" Target="../embeddings/oleObject80.bin"/><Relationship Id="rId31" Type="http://schemas.openxmlformats.org/officeDocument/2006/relationships/oleObject" Target="../embeddings/oleObject92.bin"/><Relationship Id="rId4" Type="http://schemas.openxmlformats.org/officeDocument/2006/relationships/oleObject" Target="../embeddings/oleObject65.bin"/><Relationship Id="rId9" Type="http://schemas.openxmlformats.org/officeDocument/2006/relationships/oleObject" Target="../embeddings/oleObject70.bin"/><Relationship Id="rId14" Type="http://schemas.openxmlformats.org/officeDocument/2006/relationships/oleObject" Target="../embeddings/oleObject75.bin"/><Relationship Id="rId22" Type="http://schemas.openxmlformats.org/officeDocument/2006/relationships/oleObject" Target="../embeddings/oleObject83.bin"/><Relationship Id="rId27" Type="http://schemas.openxmlformats.org/officeDocument/2006/relationships/oleObject" Target="../embeddings/oleObject88.bin"/><Relationship Id="rId30" Type="http://schemas.openxmlformats.org/officeDocument/2006/relationships/oleObject" Target="../embeddings/oleObject9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6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2.bin"/><Relationship Id="rId13" Type="http://schemas.openxmlformats.org/officeDocument/2006/relationships/oleObject" Target="../embeddings/oleObject107.bin"/><Relationship Id="rId18" Type="http://schemas.openxmlformats.org/officeDocument/2006/relationships/oleObject" Target="../embeddings/oleObject112.bin"/><Relationship Id="rId26" Type="http://schemas.openxmlformats.org/officeDocument/2006/relationships/oleObject" Target="../embeddings/oleObject120.bin"/><Relationship Id="rId3" Type="http://schemas.openxmlformats.org/officeDocument/2006/relationships/oleObject" Target="../embeddings/oleObject97.bin"/><Relationship Id="rId21" Type="http://schemas.openxmlformats.org/officeDocument/2006/relationships/oleObject" Target="../embeddings/oleObject115.bin"/><Relationship Id="rId7" Type="http://schemas.openxmlformats.org/officeDocument/2006/relationships/oleObject" Target="../embeddings/oleObject101.bin"/><Relationship Id="rId12" Type="http://schemas.openxmlformats.org/officeDocument/2006/relationships/oleObject" Target="../embeddings/oleObject106.bin"/><Relationship Id="rId17" Type="http://schemas.openxmlformats.org/officeDocument/2006/relationships/oleObject" Target="../embeddings/oleObject111.bin"/><Relationship Id="rId25" Type="http://schemas.openxmlformats.org/officeDocument/2006/relationships/oleObject" Target="../embeddings/oleObject119.bin"/><Relationship Id="rId2" Type="http://schemas.openxmlformats.org/officeDocument/2006/relationships/vmlDrawing" Target="../drawings/vmlDrawing5.vml"/><Relationship Id="rId16" Type="http://schemas.openxmlformats.org/officeDocument/2006/relationships/oleObject" Target="../embeddings/oleObject110.bin"/><Relationship Id="rId20" Type="http://schemas.openxmlformats.org/officeDocument/2006/relationships/oleObject" Target="../embeddings/oleObject1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0.bin"/><Relationship Id="rId11" Type="http://schemas.openxmlformats.org/officeDocument/2006/relationships/oleObject" Target="../embeddings/oleObject105.bin"/><Relationship Id="rId24" Type="http://schemas.openxmlformats.org/officeDocument/2006/relationships/oleObject" Target="../embeddings/oleObject118.bin"/><Relationship Id="rId5" Type="http://schemas.openxmlformats.org/officeDocument/2006/relationships/oleObject" Target="../embeddings/oleObject99.bin"/><Relationship Id="rId15" Type="http://schemas.openxmlformats.org/officeDocument/2006/relationships/oleObject" Target="../embeddings/oleObject109.bin"/><Relationship Id="rId23" Type="http://schemas.openxmlformats.org/officeDocument/2006/relationships/oleObject" Target="../embeddings/oleObject117.bin"/><Relationship Id="rId10" Type="http://schemas.openxmlformats.org/officeDocument/2006/relationships/oleObject" Target="../embeddings/oleObject104.bin"/><Relationship Id="rId19" Type="http://schemas.openxmlformats.org/officeDocument/2006/relationships/oleObject" Target="../embeddings/oleObject113.bin"/><Relationship Id="rId4" Type="http://schemas.openxmlformats.org/officeDocument/2006/relationships/oleObject" Target="../embeddings/oleObject98.bin"/><Relationship Id="rId9" Type="http://schemas.openxmlformats.org/officeDocument/2006/relationships/oleObject" Target="../embeddings/oleObject103.bin"/><Relationship Id="rId14" Type="http://schemas.openxmlformats.org/officeDocument/2006/relationships/oleObject" Target="../embeddings/oleObject108.bin"/><Relationship Id="rId22" Type="http://schemas.openxmlformats.org/officeDocument/2006/relationships/oleObject" Target="../embeddings/oleObject116.bin"/><Relationship Id="rId27" Type="http://schemas.openxmlformats.org/officeDocument/2006/relationships/oleObject" Target="../embeddings/oleObject12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2"/>
  <sheetViews>
    <sheetView tabSelected="1" topLeftCell="A70" zoomScale="130" zoomScaleNormal="130" workbookViewId="0">
      <selection activeCell="A109" sqref="A109"/>
    </sheetView>
  </sheetViews>
  <sheetFormatPr defaultRowHeight="12.75"/>
  <cols>
    <col min="2" max="2" width="12" bestFit="1" customWidth="1"/>
    <col min="10" max="10" width="10.85546875" customWidth="1"/>
  </cols>
  <sheetData>
    <row r="1" spans="1:22" ht="15.75">
      <c r="A1" s="2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75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.7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>
      <c r="A25" s="2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>
      <c r="A31" s="2" t="s">
        <v>1</v>
      </c>
      <c r="B31" s="2"/>
      <c r="C31" s="2"/>
      <c r="D31" s="2"/>
      <c r="E31" s="2" t="s">
        <v>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>
      <c r="A33" s="2"/>
      <c r="B33" s="2">
        <v>0.252</v>
      </c>
      <c r="C33" s="2" t="s">
        <v>3</v>
      </c>
      <c r="D33" s="2">
        <v>33.69</v>
      </c>
      <c r="E33" s="2" t="s">
        <v>4</v>
      </c>
      <c r="F33" s="2" t="s">
        <v>5</v>
      </c>
      <c r="G33" s="2">
        <v>469.7</v>
      </c>
      <c r="H33" s="2" t="s">
        <v>6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8.75">
      <c r="A34" s="2" t="s">
        <v>7</v>
      </c>
      <c r="B34" s="2">
        <v>83.14</v>
      </c>
      <c r="C34" s="2" t="s">
        <v>147</v>
      </c>
      <c r="D34" s="2"/>
      <c r="E34" s="2"/>
      <c r="F34" s="2" t="s">
        <v>8</v>
      </c>
      <c r="G34" s="2">
        <v>309.2</v>
      </c>
      <c r="H34" s="2" t="s">
        <v>6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>
      <c r="A35" s="2"/>
      <c r="B35" s="2"/>
      <c r="C35" s="2"/>
      <c r="D35" s="2"/>
      <c r="E35" s="2"/>
      <c r="F35" s="2" t="s">
        <v>9</v>
      </c>
      <c r="G35" s="2">
        <f>G34/G33</f>
        <v>0.65829252714498621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8.75">
      <c r="A36" s="2"/>
      <c r="B36" s="2">
        <f>0.48+1.574*B33-0.176*B33^2</f>
        <v>0.86547129599999995</v>
      </c>
      <c r="C36" s="2"/>
      <c r="D36" s="2"/>
      <c r="E36" s="2"/>
      <c r="F36" s="2" t="s">
        <v>145</v>
      </c>
      <c r="G36" s="2">
        <f>O74</f>
        <v>23532.5</v>
      </c>
      <c r="H36" s="2" t="s">
        <v>148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>
      <c r="A37" s="2"/>
      <c r="B37" s="2"/>
      <c r="C37" s="2"/>
      <c r="D37" s="2"/>
      <c r="E37" s="2"/>
      <c r="F37" s="2" t="s">
        <v>12</v>
      </c>
      <c r="G37" s="2">
        <v>1.05</v>
      </c>
      <c r="H37" s="2" t="s">
        <v>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8.75">
      <c r="A38" s="2"/>
      <c r="B38" s="2">
        <f>0.42748*B34^2*G33^2/D33</f>
        <v>19349776.383615304</v>
      </c>
      <c r="C38" s="2" t="s">
        <v>149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8.75">
      <c r="A40" s="2"/>
      <c r="B40" s="2">
        <f>0.08664*B34*G33/D33</f>
        <v>100.42642734105075</v>
      </c>
      <c r="C40" s="2" t="s">
        <v>148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8.75">
      <c r="A42" s="2"/>
      <c r="B42" s="2">
        <f>B38*(1+B36*(1-G35^0.5))^2</f>
        <v>26184024.420874942</v>
      </c>
      <c r="C42" s="2" t="s">
        <v>149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>
      <c r="A44" s="2" t="s">
        <v>12</v>
      </c>
      <c r="B44" s="2">
        <f>G37-(B34*G34)/(G36-B40)+(B42/(G36*(G36+B40)))</f>
        <v>3.3224685679761334E-7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>
      <c r="A46" s="2" t="s">
        <v>10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 t="s">
        <v>7</v>
      </c>
      <c r="N57" s="2">
        <f>B34</f>
        <v>83.14</v>
      </c>
      <c r="O57" s="2" t="s">
        <v>16</v>
      </c>
      <c r="P57" s="2"/>
      <c r="Q57" s="2"/>
      <c r="R57" s="2"/>
      <c r="S57" s="2"/>
      <c r="T57" s="2"/>
      <c r="U57" s="2"/>
      <c r="V57" s="2"/>
    </row>
    <row r="58" spans="1:22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 t="s">
        <v>18</v>
      </c>
      <c r="O59" s="2"/>
      <c r="P59" s="2"/>
      <c r="Q59" s="2"/>
      <c r="R59" s="2"/>
      <c r="S59" s="2"/>
      <c r="T59" s="2"/>
      <c r="U59" s="2"/>
      <c r="V59" s="2"/>
    </row>
    <row r="60" spans="1:22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 t="s">
        <v>14</v>
      </c>
      <c r="O60" s="2">
        <f>-N57*G34/G37</f>
        <v>-24482.750476190475</v>
      </c>
      <c r="P60" s="2"/>
      <c r="Q60" s="2"/>
      <c r="R60" s="2"/>
      <c r="S60" s="2"/>
      <c r="T60" s="2"/>
      <c r="U60" s="2"/>
      <c r="V60" s="2"/>
    </row>
    <row r="61" spans="1:22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 t="s">
        <v>15</v>
      </c>
      <c r="O61" s="2">
        <f>(B42-(B40*N57*G34)-(G37*B40^2))/G37</f>
        <v>22468365.486004289</v>
      </c>
      <c r="P61" s="2"/>
      <c r="Q61" s="2"/>
      <c r="R61" s="2"/>
      <c r="S61" s="2"/>
      <c r="T61" s="2"/>
      <c r="U61" s="2"/>
      <c r="V61" s="2"/>
    </row>
    <row r="62" spans="1:22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 t="s">
        <v>17</v>
      </c>
      <c r="O62" s="2">
        <f>-B42*B40/G37</f>
        <v>-2504350500.9517102</v>
      </c>
      <c r="P62" s="2"/>
      <c r="Q62" s="2"/>
      <c r="R62" s="2"/>
      <c r="S62" s="2"/>
      <c r="T62" s="2"/>
      <c r="U62" s="2"/>
      <c r="V62" s="2"/>
    </row>
    <row r="63" spans="1:22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 t="s">
        <v>20</v>
      </c>
      <c r="O63" s="2">
        <f>(O60^2-3*O61)/9</f>
        <v>59111108.269043557</v>
      </c>
      <c r="P63" s="2"/>
      <c r="Q63" s="2"/>
      <c r="R63" s="2"/>
      <c r="S63" s="2"/>
      <c r="T63" s="2"/>
      <c r="U63" s="2"/>
      <c r="V63" s="2"/>
    </row>
    <row r="64" spans="1:22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 t="s">
        <v>7</v>
      </c>
      <c r="O64" s="2">
        <f>(2*O60^3-(9*O60*O61)+27*O62)/54</f>
        <v>-453092602968.85052</v>
      </c>
      <c r="P64" s="2"/>
      <c r="Q64" s="2"/>
      <c r="R64" s="2"/>
      <c r="S64" s="2"/>
      <c r="T64" s="2"/>
      <c r="U64" s="2"/>
      <c r="V64" s="2"/>
    </row>
    <row r="65" spans="1:22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 t="str">
        <f>IF(O64^2&lt;O63^3,"there are three real roots","there are no three real roots")</f>
        <v>there are three real roots</v>
      </c>
      <c r="O65" s="2"/>
      <c r="P65" s="2"/>
      <c r="Q65" s="2"/>
      <c r="R65" s="2"/>
      <c r="S65" s="2"/>
      <c r="T65" s="2"/>
      <c r="U65" s="2"/>
      <c r="V65" s="2"/>
    </row>
    <row r="66" spans="1:22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 t="s">
        <v>21</v>
      </c>
      <c r="O67" s="2">
        <f>ACOS(O64/SQRT(O63^3))</f>
        <v>3.0637632620424968</v>
      </c>
      <c r="P67" s="2"/>
      <c r="Q67" s="2"/>
      <c r="R67" s="2"/>
      <c r="S67" s="2"/>
      <c r="T67" s="2"/>
      <c r="U67" s="2"/>
      <c r="V67" s="2"/>
    </row>
    <row r="68" spans="1:22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 t="s">
        <v>22</v>
      </c>
      <c r="O68" s="2">
        <f>SQRT(O63)</f>
        <v>7688.3748782849789</v>
      </c>
      <c r="P68" s="2"/>
      <c r="Q68" s="2"/>
      <c r="R68" s="2"/>
      <c r="S68" s="2"/>
      <c r="T68" s="2"/>
      <c r="U68" s="2"/>
      <c r="V68" s="2"/>
    </row>
    <row r="69" spans="1:22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 t="s">
        <v>23</v>
      </c>
      <c r="O69" s="2">
        <f>O60/3</f>
        <v>-8160.9168253968246</v>
      </c>
      <c r="P69" s="2"/>
      <c r="Q69" s="2"/>
      <c r="R69" s="2"/>
      <c r="S69" s="2"/>
      <c r="T69" s="2"/>
      <c r="U69" s="2"/>
      <c r="V69" s="2"/>
    </row>
    <row r="70" spans="1:22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 t="s">
        <v>24</v>
      </c>
      <c r="O71" s="2"/>
      <c r="P71" s="2"/>
      <c r="Q71" s="2"/>
      <c r="R71" s="2"/>
      <c r="S71" s="2"/>
      <c r="T71" s="2"/>
      <c r="U71" s="2"/>
      <c r="V71" s="2"/>
    </row>
    <row r="72" spans="1:22" ht="15.75">
      <c r="A72" s="2"/>
      <c r="B72" s="2">
        <f>4.0434+2.1456*B36-0.43477*B36^2+0.38481*B36^3-0.050479*B36^4</f>
        <v>5.7958349843068078</v>
      </c>
      <c r="C72" s="2"/>
      <c r="D72" s="2">
        <f>4.4401+2.2128*B36-0.53518*B36^2+0.17368*B36^3-0.018512*B36^4</f>
        <v>6.0565490525851722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 t="s">
        <v>150</v>
      </c>
      <c r="O73" s="2">
        <f>ROUND(-2*O68*COS(O67/3)-O69,1)</f>
        <v>129.69999999999999</v>
      </c>
      <c r="P73" s="2" t="s">
        <v>148</v>
      </c>
      <c r="Q73" s="2"/>
      <c r="R73" s="2"/>
      <c r="S73" s="2"/>
      <c r="T73" s="2"/>
      <c r="U73" s="2"/>
      <c r="V73" s="2"/>
    </row>
    <row r="74" spans="1:22" ht="20.25">
      <c r="A74" s="2"/>
      <c r="B74" s="2">
        <f>4.3755+1.2981*B36-0.53208*B36^2+0.44506*B36^3-0.074005*B36^4</f>
        <v>5.3474178392666216</v>
      </c>
      <c r="C74" s="2"/>
      <c r="D74" s="2">
        <f>5.0075+1.2494*B36-0.78155*B36^2+0.3201*B36^3-0.047601*B36^4</f>
        <v>5.6842123049339826</v>
      </c>
      <c r="E74" s="2"/>
      <c r="F74" s="2"/>
      <c r="G74" s="2"/>
      <c r="H74" s="2"/>
      <c r="I74" s="2"/>
      <c r="J74" s="2"/>
      <c r="K74" s="2"/>
      <c r="L74" s="2"/>
      <c r="M74" s="2"/>
      <c r="N74" s="2" t="s">
        <v>151</v>
      </c>
      <c r="O74" s="2">
        <f>ROUND(-2*O68*COS((O67+2*PI())/3)-O69,1)</f>
        <v>23532.5</v>
      </c>
      <c r="P74" s="2" t="s">
        <v>148</v>
      </c>
      <c r="Q74" s="2"/>
      <c r="R74" s="2"/>
      <c r="S74" s="2"/>
      <c r="T74" s="2"/>
      <c r="U74" s="2"/>
      <c r="V74" s="2"/>
    </row>
    <row r="75" spans="1:22" ht="2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 t="s">
        <v>152</v>
      </c>
      <c r="O75" s="2">
        <f>ROUND(-2*O68*COS((O67-2*PI())/3)-O69,1)</f>
        <v>820.6</v>
      </c>
      <c r="P75" s="2" t="s">
        <v>148</v>
      </c>
      <c r="Q75" s="2"/>
      <c r="R75" s="2"/>
      <c r="S75" s="2"/>
      <c r="T75" s="2"/>
      <c r="U75" s="2"/>
      <c r="V75" s="2"/>
    </row>
    <row r="76" spans="1:22" ht="15.75">
      <c r="A76" s="2"/>
      <c r="B76" s="2">
        <f>0.0708033-0.240584*B36+0.080151*B36^2-0.00990303*B36^3-0.000160472*B36^4</f>
        <v>-8.3888798754798946E-2</v>
      </c>
      <c r="C76" s="2"/>
      <c r="D76" s="2">
        <f>0.124652-0.273702*B36+0.0750076*B36^2-0.0137818*B36^3-0.00145038*B36^4</f>
        <v>-6.5793612717697625E-2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 t="s">
        <v>153</v>
      </c>
      <c r="O77" s="2"/>
      <c r="P77" s="2">
        <f>O73</f>
        <v>129.69999999999999</v>
      </c>
      <c r="Q77" s="2" t="s">
        <v>148</v>
      </c>
      <c r="R77" s="2"/>
      <c r="S77" s="2"/>
      <c r="T77" s="2"/>
      <c r="U77" s="2"/>
      <c r="V77" s="2"/>
    </row>
    <row r="78" spans="1:22" ht="20.25">
      <c r="A78" s="2" t="s">
        <v>11</v>
      </c>
      <c r="B78" s="2">
        <f>EXP(B72-(B74/(G35+B76)))</f>
        <v>2.9787214072862975E-2</v>
      </c>
      <c r="C78" s="2"/>
      <c r="D78" s="2">
        <f>EXP(D72-D74/(D76+G35))</f>
        <v>2.9098292297193497E-2</v>
      </c>
      <c r="E78" s="2"/>
      <c r="F78" s="2"/>
      <c r="G78" s="2"/>
      <c r="H78" s="2"/>
      <c r="I78" s="2" t="s">
        <v>11</v>
      </c>
      <c r="J78" s="2">
        <f>EXP(B72-(B74/(G35+B76)))</f>
        <v>2.9787214072862975E-2</v>
      </c>
      <c r="K78" s="2"/>
      <c r="L78" s="2"/>
      <c r="M78" s="2"/>
      <c r="N78" s="2" t="s">
        <v>154</v>
      </c>
      <c r="O78" s="2"/>
      <c r="P78" s="2">
        <f>O74</f>
        <v>23532.5</v>
      </c>
      <c r="Q78" s="2" t="s">
        <v>148</v>
      </c>
      <c r="R78" s="2"/>
      <c r="S78" s="2"/>
      <c r="T78" s="2"/>
      <c r="U78" s="2"/>
      <c r="V78" s="2"/>
    </row>
    <row r="79" spans="1:22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>
      <c r="A80" s="2" t="s">
        <v>12</v>
      </c>
      <c r="B80" s="2">
        <f>ROUND(B78*D33,3)</f>
        <v>1.004</v>
      </c>
      <c r="C80" s="2" t="s">
        <v>4</v>
      </c>
      <c r="D80" s="2">
        <f>ROUND(D78*D33,4)</f>
        <v>0.98029999999999995</v>
      </c>
      <c r="E80" s="2" t="s">
        <v>4</v>
      </c>
      <c r="F80" s="2"/>
      <c r="G80" s="2"/>
      <c r="H80" s="2"/>
      <c r="I80" s="2" t="s">
        <v>12</v>
      </c>
      <c r="J80" s="2">
        <f>ROUND((J78*D33),4)</f>
        <v>1.0035000000000001</v>
      </c>
      <c r="K80" s="2" t="s">
        <v>4</v>
      </c>
      <c r="L80" s="2"/>
      <c r="M80" s="2"/>
      <c r="N80" s="2" t="s">
        <v>28</v>
      </c>
      <c r="O80" s="2"/>
      <c r="P80" s="2"/>
      <c r="Q80" s="2"/>
      <c r="R80" s="2"/>
      <c r="S80" s="2"/>
      <c r="T80" s="2"/>
      <c r="U80" s="2"/>
      <c r="V80" s="2"/>
    </row>
    <row r="81" spans="1:22" ht="16.5" thickBo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>
      <c r="A82" s="2" t="s">
        <v>13</v>
      </c>
      <c r="B82" s="2">
        <f>ROUND(ABS(G37-B80)/B80*100,1)</f>
        <v>4.5999999999999996</v>
      </c>
      <c r="C82" s="2" t="s">
        <v>136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4" t="s">
        <v>29</v>
      </c>
      <c r="O82" s="5"/>
      <c r="P82" s="6"/>
      <c r="Q82" s="2"/>
      <c r="R82" s="2"/>
      <c r="S82" s="2"/>
      <c r="T82" s="2"/>
      <c r="U82" s="2"/>
      <c r="V82" s="2"/>
    </row>
    <row r="83" spans="1:22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7"/>
      <c r="O83" s="8"/>
      <c r="P83" s="9"/>
      <c r="Q83" s="2"/>
      <c r="R83" s="2"/>
      <c r="S83" s="2"/>
      <c r="T83" s="2"/>
      <c r="U83" s="2"/>
      <c r="V83" s="2"/>
    </row>
    <row r="84" spans="1:22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7" t="s">
        <v>25</v>
      </c>
      <c r="O84" s="8"/>
      <c r="P84" s="9">
        <f>ROUND((G37*P77)/(N57*G34),4)</f>
        <v>5.3E-3</v>
      </c>
      <c r="Q84" s="2"/>
      <c r="R84" s="2"/>
      <c r="S84" s="2"/>
      <c r="T84" s="2"/>
      <c r="U84" s="2"/>
      <c r="V84" s="2"/>
    </row>
    <row r="85" spans="1:22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7"/>
      <c r="O85" s="10" t="s">
        <v>26</v>
      </c>
      <c r="P85" s="9">
        <f>ROUND(B40/O73,4)</f>
        <v>0.77429999999999999</v>
      </c>
      <c r="Q85" s="2"/>
      <c r="R85" s="2"/>
      <c r="S85" s="2"/>
      <c r="T85" s="2"/>
      <c r="U85" s="2"/>
      <c r="V85" s="2"/>
    </row>
    <row r="86" spans="1:22" ht="16.5" thickBo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11" t="s">
        <v>27</v>
      </c>
      <c r="O86" s="12"/>
      <c r="P86" s="13">
        <f>ROUND(EXP(P84-1-LN(P84)-LN(1-P85)-(B42/(B40*N57*G34)*LN(1+P85))),4)</f>
        <v>0.92149999999999999</v>
      </c>
      <c r="Q86" s="2"/>
      <c r="R86" s="2"/>
      <c r="S86" s="2"/>
      <c r="T86" s="2"/>
      <c r="U86" s="2"/>
      <c r="V86" s="2"/>
    </row>
    <row r="87" spans="1:22" ht="16.5" thickBo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4" t="s">
        <v>30</v>
      </c>
      <c r="O88" s="5"/>
      <c r="P88" s="6"/>
      <c r="Q88" s="2"/>
      <c r="R88" s="2"/>
      <c r="S88" s="2"/>
      <c r="T88" s="2"/>
      <c r="U88" s="2"/>
      <c r="V88" s="2"/>
    </row>
    <row r="89" spans="1:22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7"/>
      <c r="O89" s="8"/>
      <c r="P89" s="9"/>
      <c r="Q89" s="2"/>
      <c r="R89" s="2"/>
      <c r="S89" s="2"/>
      <c r="T89" s="2"/>
      <c r="U89" s="2"/>
      <c r="V89" s="2"/>
    </row>
    <row r="90" spans="1:22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7" t="s">
        <v>25</v>
      </c>
      <c r="O90" s="8"/>
      <c r="P90" s="9">
        <f>ROUND((G37*P78)/(N57*G34),4)</f>
        <v>0.96120000000000005</v>
      </c>
      <c r="Q90" s="2"/>
      <c r="R90" s="2"/>
      <c r="S90" s="2"/>
      <c r="T90" s="2"/>
      <c r="U90" s="2"/>
      <c r="V90" s="2"/>
    </row>
    <row r="91" spans="1:22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7"/>
      <c r="O91" s="10" t="s">
        <v>26</v>
      </c>
      <c r="P91" s="9">
        <f>ROUND(B40/O74,4)</f>
        <v>4.3E-3</v>
      </c>
      <c r="Q91" s="2"/>
      <c r="R91" s="2"/>
      <c r="S91" s="2"/>
      <c r="T91" s="2"/>
      <c r="U91" s="2"/>
      <c r="V91" s="2"/>
    </row>
    <row r="92" spans="1:22" ht="16.5" thickBo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11" t="s">
        <v>27</v>
      </c>
      <c r="O92" s="12"/>
      <c r="P92" s="13">
        <f>ROUND(EXP(P90-1-LN(P90)-LN(1-P91)-(B42/(B40*N57*G34)*LN(1+P91))),4)</f>
        <v>0.96230000000000004</v>
      </c>
      <c r="Q92" s="2"/>
      <c r="R92" s="2"/>
      <c r="S92" s="2"/>
      <c r="T92" s="2"/>
      <c r="U92" s="2"/>
      <c r="V92" s="2"/>
    </row>
    <row r="93" spans="1:22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>
      <c r="A99" s="2" t="s">
        <v>34</v>
      </c>
      <c r="B99" s="2">
        <v>33.3292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>
      <c r="A100" s="2" t="s">
        <v>35</v>
      </c>
      <c r="B100" s="2">
        <f>-2.4227*10^3</f>
        <v>-2422.6999999999998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>
      <c r="A101" s="2" t="s">
        <v>36</v>
      </c>
      <c r="B101" s="2">
        <v>-9.2354000000000003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>
      <c r="A102" s="2" t="s">
        <v>19</v>
      </c>
      <c r="B102" s="2">
        <f>9.0199*10^-11</f>
        <v>9.0198999999999988E-11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>
      <c r="A103" s="2" t="s">
        <v>37</v>
      </c>
      <c r="B103" s="2">
        <f>4.105*10^-6</f>
        <v>4.1050000000000005E-6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>
      <c r="A105" s="2" t="s">
        <v>38</v>
      </c>
      <c r="B105" s="2">
        <f>B99+(B100/G34)+(B101*LOG(G34))+(B102*G34)+(B103*G34^2)</f>
        <v>2.8879177030330321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>
      <c r="A106" s="2" t="s">
        <v>33</v>
      </c>
      <c r="B106" s="2">
        <f>10^B105</f>
        <v>772.53417926585792</v>
      </c>
      <c r="C106" s="2" t="s">
        <v>39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>
      <c r="A107" s="2"/>
      <c r="B107" s="2">
        <f>ROUND(B106/760,3)</f>
        <v>1.016</v>
      </c>
      <c r="C107" s="2" t="s">
        <v>4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>
      <c r="A109" s="2" t="s">
        <v>135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>
      <c r="A111" s="2" t="s">
        <v>13</v>
      </c>
      <c r="B111" s="2">
        <f>ROUND((G37-B107)/B107*100,1)</f>
        <v>3.3</v>
      </c>
      <c r="C111" s="2" t="s">
        <v>136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</sheetData>
  <phoneticPr fontId="1" type="noConversion"/>
  <pageMargins left="0.75" right="0.75" top="1" bottom="1" header="0.5" footer="0.5"/>
  <pageSetup orientation="landscape" horizontalDpi="4294967293" r:id="rId1"/>
  <headerFooter alignWithMargins="0"/>
  <legacyDrawing r:id="rId2"/>
  <oleObjects>
    <oleObject progId="Equation.DSMT4" shapeId="3073" r:id="rId3"/>
    <oleObject progId="Equation.DSMT4" shapeId="3074" r:id="rId4"/>
    <oleObject progId="Equation.DSMT4" shapeId="3075" r:id="rId5"/>
    <oleObject progId="Equation.DSMT4" shapeId="3076" r:id="rId6"/>
    <oleObject progId="Equation.DSMT4" shapeId="3077" r:id="rId7"/>
    <oleObject progId="Equation.DSMT4" shapeId="3078" r:id="rId8"/>
    <oleObject progId="Equation.DSMT4" shapeId="3079" r:id="rId9"/>
    <oleObject progId="Equation.DSMT4" shapeId="3080" r:id="rId10"/>
    <oleObject progId="Equation.DSMT4" shapeId="3081" r:id="rId11"/>
    <oleObject progId="Equation.DSMT4" shapeId="3082" r:id="rId12"/>
    <oleObject progId="Equation.DSMT4" shapeId="3083" r:id="rId13"/>
    <oleObject progId="Equation.DSMT4" shapeId="3084" r:id="rId14"/>
    <oleObject progId="Equation.DSMT4" shapeId="3088" r:id="rId15"/>
    <oleObject progId="Equation.DSMT4" shapeId="3089" r:id="rId16"/>
    <oleObject progId="Equation.DSMT4" shapeId="3090" r:id="rId17"/>
    <oleObject progId="Equation.DSMT4" shapeId="3091" r:id="rId18"/>
    <oleObject progId="Equation.DSMT4" shapeId="3092" r:id="rId19"/>
    <oleObject progId="Equation.DSMT4" shapeId="3093" r:id="rId20"/>
    <oleObject progId="Equation.DSMT4" shapeId="3094" r:id="rId21"/>
    <oleObject progId="Equation.DSMT4" shapeId="3095" r:id="rId22"/>
    <oleObject progId="Equation.DSMT4" shapeId="3096" r:id="rId23"/>
    <oleObject progId="Equation.DSMT4" shapeId="3097" r:id="rId24"/>
    <oleObject progId="Equation.DSMT4" shapeId="3098" r:id="rId25"/>
    <oleObject progId="Equation.DSMT4" shapeId="3099" r:id="rId26"/>
    <oleObject progId="Equation.DSMT4" shapeId="3101" r:id="rId27"/>
    <oleObject progId="Equation.DSMT4" shapeId="3102" r:id="rId28"/>
    <oleObject progId="Equation.DSMT4" shapeId="3103" r:id="rId29"/>
    <oleObject progId="Equation.DSMT4" shapeId="3104" r:id="rId30"/>
    <oleObject progId="Equation.DSMT4" shapeId="3106" r:id="rId31"/>
    <oleObject progId="Equation.DSMT4" shapeId="3107" r:id="rId32"/>
    <oleObject progId="Equation.DSMT4" shapeId="3108" r:id="rId33"/>
    <oleObject progId="Equation.DSMT4" shapeId="3109" r:id="rId3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113"/>
  <sheetViews>
    <sheetView topLeftCell="A68" workbookViewId="0">
      <selection activeCell="I70" sqref="I70"/>
    </sheetView>
  </sheetViews>
  <sheetFormatPr defaultRowHeight="12.75"/>
  <cols>
    <col min="2" max="2" width="12" bestFit="1" customWidth="1"/>
    <col min="10" max="10" width="11.5703125" customWidth="1"/>
    <col min="12" max="12" width="12.7109375" customWidth="1"/>
    <col min="13" max="13" width="13.140625" bestFit="1" customWidth="1"/>
  </cols>
  <sheetData>
    <row r="1" spans="1:23" ht="15.75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>
      <c r="A25" s="2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>
      <c r="A31" s="2" t="s">
        <v>1</v>
      </c>
      <c r="B31" s="2"/>
      <c r="C31" s="2"/>
      <c r="D31" s="2"/>
      <c r="E31" s="2" t="s">
        <v>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>
      <c r="A33" s="2"/>
      <c r="B33" s="2">
        <v>0.30099999999999999</v>
      </c>
      <c r="C33" s="2" t="s">
        <v>3</v>
      </c>
      <c r="D33" s="2">
        <v>30.25</v>
      </c>
      <c r="E33" s="2" t="s">
        <v>4</v>
      </c>
      <c r="F33" s="2" t="s">
        <v>5</v>
      </c>
      <c r="G33" s="2">
        <v>507.6</v>
      </c>
      <c r="H33" s="2" t="s">
        <v>6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8.75">
      <c r="A34" s="2" t="s">
        <v>7</v>
      </c>
      <c r="B34" s="2">
        <v>83.14</v>
      </c>
      <c r="C34" s="2" t="s">
        <v>147</v>
      </c>
      <c r="D34" s="2"/>
      <c r="E34" s="2"/>
      <c r="F34" s="2" t="s">
        <v>8</v>
      </c>
      <c r="G34" s="2">
        <v>341.9</v>
      </c>
      <c r="H34" s="2" t="s">
        <v>6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>
      <c r="A35" s="2"/>
      <c r="B35" s="2"/>
      <c r="C35" s="2"/>
      <c r="D35" s="2"/>
      <c r="E35" s="2"/>
      <c r="F35" s="2" t="s">
        <v>9</v>
      </c>
      <c r="G35" s="2">
        <f>G34/G33</f>
        <v>0.67356185973207239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8.75">
      <c r="A36" s="2"/>
      <c r="B36" s="2">
        <f>0.48+1.574*B33-0.176*B33^2</f>
        <v>0.93782822399999999</v>
      </c>
      <c r="C36" s="2"/>
      <c r="D36" s="2"/>
      <c r="E36" s="2"/>
      <c r="F36" s="2" t="s">
        <v>145</v>
      </c>
      <c r="G36" s="2">
        <v>27130</v>
      </c>
      <c r="H36" s="2" t="s">
        <v>148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>
      <c r="A37" s="2"/>
      <c r="B37" s="2"/>
      <c r="C37" s="2"/>
      <c r="D37" s="2"/>
      <c r="E37" s="2"/>
      <c r="F37" s="2" t="s">
        <v>12</v>
      </c>
      <c r="G37" s="2">
        <v>1.0059905828123821</v>
      </c>
      <c r="H37" s="2" t="s">
        <v>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8.75">
      <c r="A38" s="2"/>
      <c r="B38" s="2">
        <f>0.42748*B34^2*G33^2/D33</f>
        <v>25168288.810672581</v>
      </c>
      <c r="C38" s="2" t="s">
        <v>149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8.75">
      <c r="A40" s="2"/>
      <c r="B40" s="2">
        <f>0.08664*B34*G33/D33</f>
        <v>120.8717189077686</v>
      </c>
      <c r="C40" s="2" t="s">
        <v>148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8.75">
      <c r="A42" s="2"/>
      <c r="B42" s="2">
        <f>B38*(1+B36*(1-G35^0.5))^2</f>
        <v>34343706.913634531</v>
      </c>
      <c r="C42" s="2" t="s">
        <v>149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>
      <c r="A44" s="2" t="s">
        <v>12</v>
      </c>
      <c r="B44" s="2">
        <f>G37-(B34*G34)/(G36-B40)+(B42/(G36*(G36+B40)))</f>
        <v>9.9999999988303889E-7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>
      <c r="A46" s="2" t="s">
        <v>10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 t="s">
        <v>7</v>
      </c>
      <c r="O59" s="2">
        <f>B34</f>
        <v>83.14</v>
      </c>
      <c r="P59" s="2" t="s">
        <v>16</v>
      </c>
      <c r="Q59" s="2"/>
      <c r="R59" s="2"/>
      <c r="S59" s="2"/>
      <c r="T59" s="2"/>
      <c r="U59" s="2"/>
      <c r="V59" s="2"/>
      <c r="W59" s="2"/>
    </row>
    <row r="60" spans="1:23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 t="s">
        <v>18</v>
      </c>
      <c r="P61" s="2"/>
      <c r="Q61" s="2"/>
      <c r="R61" s="2"/>
      <c r="S61" s="2"/>
      <c r="T61" s="2"/>
      <c r="U61" s="2"/>
      <c r="V61" s="2"/>
      <c r="W61" s="2"/>
    </row>
    <row r="62" spans="1:23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 t="s">
        <v>14</v>
      </c>
      <c r="P62" s="2">
        <f>-O59*G34/G37</f>
        <v>-28256.294328851971</v>
      </c>
      <c r="Q62" s="2"/>
      <c r="R62" s="2"/>
      <c r="S62" s="2"/>
      <c r="T62" s="2"/>
      <c r="U62" s="2"/>
      <c r="V62" s="2"/>
      <c r="W62" s="2"/>
    </row>
    <row r="63" spans="1:23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 t="s">
        <v>15</v>
      </c>
      <c r="P63" s="2">
        <f>(B42-(B40*O59*G34)-(G37*B40^2))/G37</f>
        <v>30709196.411402635</v>
      </c>
      <c r="Q63" s="2"/>
      <c r="R63" s="2"/>
      <c r="S63" s="2"/>
      <c r="T63" s="2"/>
      <c r="U63" s="2"/>
      <c r="V63" s="2"/>
      <c r="W63" s="2"/>
    </row>
    <row r="64" spans="1:23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 t="s">
        <v>17</v>
      </c>
      <c r="P64" s="2">
        <f>-B42*B40/G37</f>
        <v>-4126462970.1705871</v>
      </c>
      <c r="Q64" s="2"/>
      <c r="R64" s="2"/>
      <c r="S64" s="2"/>
      <c r="T64" s="2"/>
      <c r="U64" s="2"/>
      <c r="V64" s="2"/>
      <c r="W64" s="2"/>
    </row>
    <row r="65" spans="1:23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 t="s">
        <v>20</v>
      </c>
      <c r="P65" s="2">
        <f>(P62^2-3*P63)/9</f>
        <v>78476731.10716714</v>
      </c>
      <c r="Q65" s="2"/>
      <c r="R65" s="2"/>
      <c r="S65" s="2"/>
      <c r="T65" s="2"/>
      <c r="U65" s="2"/>
      <c r="V65" s="2"/>
      <c r="W65" s="2"/>
    </row>
    <row r="66" spans="1:23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 t="s">
        <v>7</v>
      </c>
      <c r="P66" s="2">
        <f>(2*P62^3-(9*P62*P63)+27*P64)/54</f>
        <v>-693009985950.5636</v>
      </c>
      <c r="Q66" s="2"/>
      <c r="R66" s="2"/>
      <c r="S66" s="2"/>
      <c r="T66" s="2"/>
      <c r="U66" s="2"/>
      <c r="V66" s="2"/>
      <c r="W66" s="2"/>
    </row>
    <row r="67" spans="1:23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 t="str">
        <f>IF(P66^2&lt;P65^3,"there are three real roots","there are no three real roots")</f>
        <v>there are three real roots</v>
      </c>
      <c r="P67" s="2"/>
      <c r="Q67" s="2"/>
      <c r="R67" s="2"/>
      <c r="S67" s="2"/>
      <c r="T67" s="2"/>
      <c r="U67" s="2"/>
      <c r="V67" s="2"/>
      <c r="W67" s="2"/>
    </row>
    <row r="68" spans="1:23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 t="s">
        <v>21</v>
      </c>
      <c r="P69" s="2">
        <f>ACOS(P66/SQRT(P65^3))</f>
        <v>3.0621507346469325</v>
      </c>
      <c r="Q69" s="2"/>
      <c r="R69" s="2"/>
      <c r="S69" s="2"/>
      <c r="T69" s="2"/>
      <c r="U69" s="2"/>
      <c r="V69" s="2"/>
      <c r="W69" s="2"/>
    </row>
    <row r="70" spans="1:23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 t="s">
        <v>22</v>
      </c>
      <c r="P70" s="2">
        <f>SQRT(P65)</f>
        <v>8858.7093364195625</v>
      </c>
      <c r="Q70" s="2"/>
      <c r="R70" s="2"/>
      <c r="S70" s="2"/>
      <c r="T70" s="2"/>
      <c r="U70" s="2"/>
      <c r="V70" s="2"/>
      <c r="W70" s="2"/>
    </row>
    <row r="71" spans="1:23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 t="s">
        <v>23</v>
      </c>
      <c r="P71" s="2">
        <f>P62/3</f>
        <v>-9418.7647762839897</v>
      </c>
      <c r="Q71" s="2"/>
      <c r="R71" s="2"/>
      <c r="S71" s="2"/>
      <c r="T71" s="2"/>
      <c r="U71" s="2"/>
      <c r="V71" s="2"/>
      <c r="W71" s="2"/>
    </row>
    <row r="72" spans="1:23" ht="15.75">
      <c r="A72" s="2"/>
      <c r="B72" s="2">
        <f>4.0434+2.1456*B36-0.43477*B36^2+0.38481*B36^3-0.050479*B36^4</f>
        <v>5.951572905530039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 t="s">
        <v>24</v>
      </c>
      <c r="P73" s="2"/>
      <c r="Q73" s="2"/>
      <c r="R73" s="2"/>
      <c r="S73" s="2"/>
      <c r="T73" s="2"/>
      <c r="U73" s="2"/>
      <c r="V73" s="2"/>
      <c r="W73" s="2"/>
    </row>
    <row r="74" spans="1:23" ht="15.75">
      <c r="A74" s="2"/>
      <c r="B74" s="2">
        <f>4.3755+1.2981*B36-0.53208*B36^2+0.44506*B36^3-0.074005*B36^4</f>
        <v>5.4347751137686409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2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 t="s">
        <v>150</v>
      </c>
      <c r="P75" s="2">
        <f>ROUND(-2*P70*COS(P69/3)-P71,1)</f>
        <v>156.9</v>
      </c>
      <c r="Q75" s="2" t="s">
        <v>148</v>
      </c>
      <c r="R75" s="2"/>
      <c r="S75" s="2"/>
      <c r="T75" s="2"/>
      <c r="U75" s="2"/>
      <c r="V75" s="2"/>
      <c r="W75" s="2"/>
    </row>
    <row r="76" spans="1:23" ht="20.25">
      <c r="A76" s="2"/>
      <c r="B76" s="2">
        <f>0.070833-0.240584*B36+0.080151*B36^2-0.00990303*B36^3-0.000160472*B36^4</f>
        <v>-9.2591468624099366E-2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 t="s">
        <v>151</v>
      </c>
      <c r="P76" s="2">
        <f>ROUND(-2*P70*COS((P69+2*PI())/3)-P71,1)</f>
        <v>27130</v>
      </c>
      <c r="Q76" s="2" t="s">
        <v>148</v>
      </c>
      <c r="R76" s="2"/>
      <c r="S76" s="2"/>
      <c r="T76" s="2"/>
      <c r="U76" s="2"/>
      <c r="V76" s="2"/>
      <c r="W76" s="2"/>
    </row>
    <row r="77" spans="1:23" ht="2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 t="s">
        <v>152</v>
      </c>
      <c r="P77" s="2">
        <f>ROUND(-2*P70*COS((P69-2*PI())/3)-P71,1)</f>
        <v>969.4</v>
      </c>
      <c r="Q77" s="2" t="s">
        <v>148</v>
      </c>
      <c r="R77" s="2"/>
      <c r="S77" s="2"/>
      <c r="T77" s="2"/>
      <c r="U77" s="2"/>
      <c r="V77" s="2"/>
      <c r="W77" s="2"/>
    </row>
    <row r="78" spans="1:23" ht="15.75">
      <c r="A78" s="2" t="s">
        <v>11</v>
      </c>
      <c r="B78" s="2">
        <f>EXP(B72-B74/(B76+G35))</f>
        <v>3.327070963094643E-2</v>
      </c>
      <c r="C78" s="2"/>
      <c r="D78" s="2"/>
      <c r="E78" s="2"/>
      <c r="F78" s="2"/>
      <c r="G78" s="2" t="s">
        <v>11</v>
      </c>
      <c r="H78" s="2">
        <f>EXP(B72-(B74/(G35+B76)))</f>
        <v>3.327070963094643E-2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2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 t="s">
        <v>153</v>
      </c>
      <c r="P79" s="2"/>
      <c r="Q79" s="2">
        <f>P75</f>
        <v>156.9</v>
      </c>
      <c r="R79" s="2" t="s">
        <v>148</v>
      </c>
      <c r="S79" s="2"/>
      <c r="T79" s="2"/>
      <c r="U79" s="2"/>
      <c r="V79" s="2"/>
      <c r="W79" s="2"/>
    </row>
    <row r="80" spans="1:23" ht="20.25">
      <c r="A80" s="2" t="s">
        <v>12</v>
      </c>
      <c r="B80" s="2">
        <f>B78*D33</f>
        <v>1.0064389663361295</v>
      </c>
      <c r="C80" s="2"/>
      <c r="D80" s="2"/>
      <c r="E80" s="2"/>
      <c r="F80" s="2"/>
      <c r="G80" s="2" t="s">
        <v>12</v>
      </c>
      <c r="H80" s="2">
        <f>(H78*D33)</f>
        <v>1.0064389663361295</v>
      </c>
      <c r="I80" s="2" t="s">
        <v>4</v>
      </c>
      <c r="J80" s="2"/>
      <c r="K80" s="2"/>
      <c r="L80" s="2"/>
      <c r="M80" s="2"/>
      <c r="N80" s="2"/>
      <c r="O80" s="2" t="s">
        <v>154</v>
      </c>
      <c r="P80" s="2"/>
      <c r="Q80" s="2">
        <f>P76</f>
        <v>27130</v>
      </c>
      <c r="R80" s="2" t="s">
        <v>148</v>
      </c>
      <c r="S80" s="2"/>
      <c r="T80" s="2"/>
      <c r="U80" s="2"/>
      <c r="V80" s="2"/>
      <c r="W80" s="2"/>
    </row>
    <row r="81" spans="1:23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>
      <c r="A82" s="2" t="s">
        <v>13</v>
      </c>
      <c r="B82" s="2">
        <f>ROUND((B80-G37)/G37*100,2)</f>
        <v>0.04</v>
      </c>
      <c r="C82" s="2" t="s">
        <v>136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 t="s">
        <v>28</v>
      </c>
      <c r="P82" s="2"/>
      <c r="Q82" s="2"/>
      <c r="R82" s="2"/>
      <c r="S82" s="2"/>
      <c r="T82" s="2"/>
      <c r="U82" s="2"/>
      <c r="V82" s="2"/>
      <c r="W82" s="2"/>
    </row>
    <row r="83" spans="1:23" ht="16.5" thickBo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4" t="s">
        <v>29</v>
      </c>
      <c r="P84" s="5"/>
      <c r="Q84" s="6"/>
      <c r="R84" s="2"/>
      <c r="S84" s="2"/>
      <c r="T84" s="2"/>
      <c r="U84" s="2"/>
      <c r="V84" s="2"/>
      <c r="W84" s="2"/>
    </row>
    <row r="85" spans="1:23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7"/>
      <c r="P85" s="8"/>
      <c r="Q85" s="9"/>
      <c r="R85" s="2"/>
      <c r="S85" s="2"/>
      <c r="T85" s="2"/>
      <c r="U85" s="2"/>
      <c r="V85" s="2"/>
      <c r="W85" s="2"/>
    </row>
    <row r="86" spans="1:23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7" t="s">
        <v>25</v>
      </c>
      <c r="P86" s="8"/>
      <c r="Q86" s="9">
        <f>ROUND((G37*Q79)/(O59*G34),4)</f>
        <v>5.5999999999999999E-3</v>
      </c>
      <c r="R86" s="2"/>
      <c r="S86" s="2"/>
      <c r="T86" s="2"/>
      <c r="U86" s="2"/>
      <c r="V86" s="2"/>
      <c r="W86" s="2"/>
    </row>
    <row r="87" spans="1:23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7"/>
      <c r="P87" s="10" t="s">
        <v>26</v>
      </c>
      <c r="Q87" s="9">
        <f>ROUND(B40/P75,4)</f>
        <v>0.77039999999999997</v>
      </c>
      <c r="R87" s="2"/>
      <c r="S87" s="2"/>
      <c r="T87" s="2"/>
      <c r="U87" s="2"/>
      <c r="V87" s="2"/>
      <c r="W87" s="2"/>
    </row>
    <row r="88" spans="1:23" ht="16.5" thickBo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1" t="s">
        <v>27</v>
      </c>
      <c r="P88" s="12"/>
      <c r="Q88" s="13">
        <f>ROUND(EXP(Q86-1-LN(Q86)-LN(1-Q87)-(B42/(B40*O59*G34)*LN(1+Q87))),4)</f>
        <v>0.95350000000000001</v>
      </c>
      <c r="R88" s="2"/>
      <c r="S88" s="2"/>
      <c r="T88" s="2"/>
      <c r="U88" s="2"/>
      <c r="V88" s="2"/>
      <c r="W88" s="2"/>
    </row>
    <row r="89" spans="1:23" ht="16.5" thickBo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4" t="s">
        <v>30</v>
      </c>
      <c r="P90" s="5"/>
      <c r="Q90" s="6"/>
      <c r="R90" s="2"/>
      <c r="S90" s="2"/>
      <c r="T90" s="2"/>
      <c r="U90" s="2"/>
      <c r="V90" s="2"/>
      <c r="W90" s="2"/>
    </row>
    <row r="91" spans="1:23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7"/>
      <c r="P91" s="8"/>
      <c r="Q91" s="9"/>
      <c r="R91" s="2"/>
      <c r="S91" s="2"/>
      <c r="T91" s="2"/>
      <c r="U91" s="2"/>
      <c r="V91" s="2"/>
      <c r="W91" s="2"/>
    </row>
    <row r="92" spans="1:23" ht="15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7" t="s">
        <v>25</v>
      </c>
      <c r="P92" s="8"/>
      <c r="Q92" s="9">
        <f>ROUND((G37*Q80)/(O59*G34),4)</f>
        <v>0.96009999999999995</v>
      </c>
      <c r="R92" s="2"/>
      <c r="S92" s="2"/>
      <c r="T92" s="2"/>
      <c r="U92" s="2"/>
      <c r="V92" s="2"/>
      <c r="W92" s="2"/>
    </row>
    <row r="93" spans="1:23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7"/>
      <c r="P93" s="10" t="s">
        <v>26</v>
      </c>
      <c r="Q93" s="9">
        <f>ROUND(B40/P76,4)</f>
        <v>4.4999999999999997E-3</v>
      </c>
      <c r="R93" s="2"/>
      <c r="S93" s="2"/>
      <c r="T93" s="2"/>
      <c r="U93" s="2"/>
      <c r="V93" s="2"/>
      <c r="W93" s="2"/>
    </row>
    <row r="94" spans="1:23" ht="16.5" thickBo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1" t="s">
        <v>27</v>
      </c>
      <c r="P94" s="12"/>
      <c r="Q94" s="13">
        <f>ROUND(EXP(Q92-1-LN(Q92)-LN(1-Q93)-(B42/(B40*O59*G34)*LN(1+Q93))),4)</f>
        <v>0.96120000000000005</v>
      </c>
      <c r="R94" s="2"/>
      <c r="S94" s="2"/>
      <c r="T94" s="2"/>
      <c r="U94" s="2"/>
      <c r="V94" s="2"/>
      <c r="W94" s="2"/>
    </row>
    <row r="95" spans="1:23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>
      <c r="A99" s="2" t="s">
        <v>34</v>
      </c>
      <c r="B99" s="2">
        <v>69.737799999999993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>
      <c r="A100" s="2" t="s">
        <v>35</v>
      </c>
      <c r="B100" s="2">
        <f>-3.6278*10^3</f>
        <v>-3627.8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>
      <c r="A101" s="2" t="s">
        <v>36</v>
      </c>
      <c r="B101" s="2">
        <f>-2.3927*10</f>
        <v>-23.927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>
      <c r="A102" s="2" t="s">
        <v>19</v>
      </c>
      <c r="B102" s="2">
        <f>1.281*10^-2</f>
        <v>1.281E-2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>
      <c r="A103" s="2" t="s">
        <v>37</v>
      </c>
      <c r="B103" s="2">
        <f>-1.6844*10^-13</f>
        <v>-1.6843999999999999E-13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>
      <c r="A105" s="2" t="s">
        <v>38</v>
      </c>
      <c r="B105" s="2">
        <f>B99+(B100/$G$34)+(B101*LOG($G$34))+(B102*$G$34)+(B103*$G$34^2)</f>
        <v>2.8782303110808365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>
      <c r="A106" s="2" t="s">
        <v>33</v>
      </c>
      <c r="B106" s="2">
        <f>10^B105</f>
        <v>755.49276747110616</v>
      </c>
      <c r="C106" s="2" t="s">
        <v>39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>
      <c r="A107" s="2"/>
      <c r="B107" s="2">
        <f>ROUND(B106/760,4)</f>
        <v>0.99409999999999998</v>
      </c>
      <c r="C107" s="2" t="s">
        <v>4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>
      <c r="A109" s="2" t="s">
        <v>135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>
      <c r="A111" s="2" t="s">
        <v>13</v>
      </c>
      <c r="B111" s="2">
        <f>ROUND((G37-B107)/B107*100,1)</f>
        <v>1.2</v>
      </c>
      <c r="C111" s="2" t="s">
        <v>136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2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</sheetData>
  <phoneticPr fontId="1" type="noConversion"/>
  <pageMargins left="0.75" right="0.75" top="1" bottom="1" header="0.5" footer="0.5"/>
  <pageSetup orientation="landscape" r:id="rId1"/>
  <headerFooter alignWithMargins="0"/>
  <drawing r:id="rId2"/>
  <legacyDrawing r:id="rId3"/>
  <oleObjects>
    <oleObject progId="Equation.DSMT4" shapeId="1025" r:id="rId4"/>
    <oleObject progId="Equation.DSMT4" shapeId="1026" r:id="rId5"/>
    <oleObject progId="Equation.DSMT4" shapeId="1027" r:id="rId6"/>
    <oleObject progId="Equation.DSMT4" shapeId="1028" r:id="rId7"/>
    <oleObject progId="Equation.DSMT4" shapeId="1029" r:id="rId8"/>
    <oleObject progId="Equation.DSMT4" shapeId="1030" r:id="rId9"/>
    <oleObject progId="Equation.DSMT4" shapeId="1031" r:id="rId10"/>
    <oleObject progId="Equation.DSMT4" shapeId="1032" r:id="rId11"/>
    <oleObject progId="Equation.DSMT4" shapeId="1033" r:id="rId12"/>
    <oleObject progId="Equation.DSMT4" shapeId="1034" r:id="rId13"/>
    <oleObject progId="Equation.DSMT4" shapeId="1035" r:id="rId14"/>
    <oleObject progId="Equation.DSMT4" shapeId="1036" r:id="rId15"/>
    <oleObject progId="Equation.DSMT4" shapeId="1037" r:id="rId16"/>
    <oleObject progId="Equation.DSMT4" shapeId="1038" r:id="rId17"/>
    <oleObject progId="Equation.DSMT4" shapeId="1039" r:id="rId18"/>
    <oleObject progId="Equation.DSMT4" shapeId="1040" r:id="rId19"/>
    <oleObject progId="Equation.DSMT4" shapeId="1041" r:id="rId20"/>
    <oleObject progId="Equation.DSMT4" shapeId="1042" r:id="rId21"/>
    <oleObject progId="Equation.DSMT4" shapeId="1044" r:id="rId22"/>
    <oleObject progId="Equation.DSMT4" shapeId="1045" r:id="rId23"/>
    <oleObject progId="Equation.DSMT4" shapeId="1046" r:id="rId24"/>
    <oleObject progId="Equation.DSMT4" shapeId="1047" r:id="rId25"/>
    <oleObject progId="Equation.DSMT4" shapeId="1048" r:id="rId26"/>
    <oleObject progId="Equation.DSMT4" shapeId="1049" r:id="rId27"/>
    <oleObject progId="Equation.DSMT4" shapeId="1050" r:id="rId28"/>
    <oleObject progId="Equation.DSMT4" shapeId="1052" r:id="rId29"/>
    <oleObject progId="Equation.DSMT4" shapeId="1053" r:id="rId30"/>
    <oleObject progId="Equation.DSMT4" shapeId="1054" r:id="rId31"/>
    <oleObject progId="Equation.DSMT4" shapeId="1055" r:id="rId32"/>
    <oleObject progId="Equation.DSMT4" shapeId="1056" r:id="rId33"/>
    <oleObject progId="Equation.DSMT4" shapeId="1057" r:id="rId3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U113"/>
  <sheetViews>
    <sheetView topLeftCell="A85" workbookViewId="0">
      <selection activeCell="M86" sqref="L86:M86"/>
    </sheetView>
  </sheetViews>
  <sheetFormatPr defaultRowHeight="12.75"/>
  <cols>
    <col min="2" max="2" width="12" bestFit="1" customWidth="1"/>
    <col min="14" max="14" width="20.28515625" customWidth="1"/>
  </cols>
  <sheetData>
    <row r="1" spans="1:21" ht="15.75">
      <c r="A1" s="2" t="s">
        <v>134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.7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>
      <c r="A25" s="2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>
      <c r="A31" s="2" t="s">
        <v>1</v>
      </c>
      <c r="B31" s="2"/>
      <c r="C31" s="2"/>
      <c r="D31" s="2"/>
      <c r="E31" s="2" t="s">
        <v>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>
      <c r="A33" s="2"/>
      <c r="B33" s="2">
        <v>0.153</v>
      </c>
      <c r="C33" s="2" t="s">
        <v>3</v>
      </c>
      <c r="D33" s="2">
        <v>66.8</v>
      </c>
      <c r="E33" s="2" t="s">
        <v>4</v>
      </c>
      <c r="F33" s="2" t="s">
        <v>5</v>
      </c>
      <c r="G33" s="2">
        <v>416.3</v>
      </c>
      <c r="H33" s="2" t="s">
        <v>6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8.75">
      <c r="A34" s="2" t="s">
        <v>7</v>
      </c>
      <c r="B34" s="2">
        <v>83.14</v>
      </c>
      <c r="C34" s="2" t="s">
        <v>147</v>
      </c>
      <c r="D34" s="2"/>
      <c r="E34" s="2"/>
      <c r="F34" s="2" t="s">
        <v>8</v>
      </c>
      <c r="G34" s="2">
        <v>249.1</v>
      </c>
      <c r="H34" s="2" t="s">
        <v>6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>
      <c r="A35" s="2"/>
      <c r="B35" s="2"/>
      <c r="C35" s="2"/>
      <c r="D35" s="2"/>
      <c r="E35" s="2"/>
      <c r="F35" s="2" t="s">
        <v>9</v>
      </c>
      <c r="G35" s="2">
        <f>G34/G33</f>
        <v>0.59836656257506604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.75">
      <c r="A36" s="2"/>
      <c r="B36" s="2">
        <f>0.48+1.574*B33-0.176*B33^2</f>
        <v>0.71670201599999994</v>
      </c>
      <c r="C36" s="2"/>
      <c r="D36" s="2"/>
      <c r="E36" s="2"/>
      <c r="F36" s="2" t="s">
        <v>145</v>
      </c>
      <c r="G36" s="2">
        <f>O74</f>
        <v>18790.7</v>
      </c>
      <c r="H36" s="2" t="s">
        <v>148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>
      <c r="A37" s="2"/>
      <c r="B37" s="2"/>
      <c r="C37" s="2"/>
      <c r="D37" s="2"/>
      <c r="E37" s="2"/>
      <c r="F37" s="2" t="s">
        <v>12</v>
      </c>
      <c r="G37" s="2">
        <v>1.0755308966204962</v>
      </c>
      <c r="H37" s="2" t="s">
        <v>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8.75">
      <c r="A38" s="2"/>
      <c r="B38" s="2">
        <f>0.42748*B34^2*G33^2/D33</f>
        <v>7666059.7586973328</v>
      </c>
      <c r="C38" s="2" t="s">
        <v>149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8.75">
      <c r="A40" s="2"/>
      <c r="B40" s="2">
        <f>0.08664*B34*G33/D33</f>
        <v>44.890910306586825</v>
      </c>
      <c r="C40" s="2" t="s">
        <v>148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8.75">
      <c r="A42" s="2"/>
      <c r="B42" s="2">
        <f>B38*(1+B36*(1-G35^0.5))^2</f>
        <v>10356453.905791821</v>
      </c>
      <c r="C42" s="2" t="s">
        <v>149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>
      <c r="A44" s="2" t="s">
        <v>12</v>
      </c>
      <c r="B44" s="2">
        <f>G37-(B34*G34)/(G36-B40)+(B42/(G36*(G36+B40)))</f>
        <v>2.3260716089483491E-6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>
      <c r="A46" s="2" t="s">
        <v>10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 t="s">
        <v>7</v>
      </c>
      <c r="N57" s="2">
        <f>B34</f>
        <v>83.14</v>
      </c>
      <c r="O57" s="2" t="s">
        <v>16</v>
      </c>
      <c r="P57" s="2"/>
      <c r="Q57" s="2"/>
      <c r="R57" s="2"/>
      <c r="S57" s="2"/>
      <c r="T57" s="2"/>
      <c r="U57" s="2"/>
    </row>
    <row r="58" spans="1:21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 t="s">
        <v>18</v>
      </c>
      <c r="O59" s="2"/>
      <c r="P59" s="2"/>
      <c r="Q59" s="2"/>
      <c r="R59" s="2"/>
      <c r="S59" s="2"/>
      <c r="T59" s="2"/>
      <c r="U59" s="2"/>
    </row>
    <row r="60" spans="1:21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 t="s">
        <v>14</v>
      </c>
      <c r="O60" s="2">
        <f>-N57*G34/G37</f>
        <v>-19255.768537263728</v>
      </c>
      <c r="P60" s="2"/>
      <c r="Q60" s="2"/>
      <c r="R60" s="2"/>
      <c r="S60" s="2"/>
      <c r="T60" s="2"/>
      <c r="U60" s="2"/>
    </row>
    <row r="61" spans="1:21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 t="s">
        <v>15</v>
      </c>
      <c r="O61" s="2">
        <f>(B42-(B40*N57*G34)-(G37*B40^2))/G37</f>
        <v>8762731.0091349669</v>
      </c>
      <c r="P61" s="2"/>
      <c r="Q61" s="2"/>
      <c r="R61" s="2"/>
      <c r="S61" s="2"/>
      <c r="T61" s="2"/>
      <c r="U61" s="2"/>
    </row>
    <row r="62" spans="1:21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 t="s">
        <v>17</v>
      </c>
      <c r="O62" s="2">
        <f>-B42*B40/G37</f>
        <v>-432261541.56987119</v>
      </c>
      <c r="P62" s="2"/>
      <c r="Q62" s="2"/>
      <c r="R62" s="2"/>
      <c r="S62" s="2"/>
      <c r="T62" s="2"/>
      <c r="U62" s="2"/>
    </row>
    <row r="63" spans="1:21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 t="s">
        <v>20</v>
      </c>
      <c r="O63" s="2">
        <f>(O60^2-3*O61)/9</f>
        <v>38277380.992585644</v>
      </c>
      <c r="P63" s="2"/>
      <c r="Q63" s="2"/>
      <c r="R63" s="2"/>
      <c r="S63" s="2"/>
      <c r="T63" s="2"/>
      <c r="U63" s="2"/>
    </row>
    <row r="64" spans="1:21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 t="s">
        <v>7</v>
      </c>
      <c r="O64" s="2">
        <f>(2*O60^3-(9*O60*O61)+27*O62)/54</f>
        <v>-236528864746.84702</v>
      </c>
      <c r="P64" s="2"/>
      <c r="Q64" s="2"/>
      <c r="R64" s="2"/>
      <c r="S64" s="2"/>
      <c r="T64" s="2"/>
      <c r="U64" s="2"/>
    </row>
    <row r="65" spans="1:21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 t="str">
        <f>IF(O64^2&lt;O63^3,"there are three real roots","there are no three real roots")</f>
        <v>there are three real roots</v>
      </c>
      <c r="O65" s="2"/>
      <c r="P65" s="2"/>
      <c r="Q65" s="2"/>
      <c r="R65" s="2"/>
      <c r="S65" s="2"/>
      <c r="T65" s="2"/>
      <c r="U65" s="2"/>
    </row>
    <row r="66" spans="1:21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 t="s">
        <v>21</v>
      </c>
      <c r="O67" s="2">
        <f>ACOS(O64/SQRT(O63^3))</f>
        <v>3.0922372948108201</v>
      </c>
      <c r="P67" s="2"/>
      <c r="Q67" s="2"/>
      <c r="R67" s="2"/>
      <c r="S67" s="2"/>
      <c r="T67" s="2"/>
      <c r="U67" s="2"/>
    </row>
    <row r="68" spans="1:21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 t="s">
        <v>22</v>
      </c>
      <c r="O68" s="2">
        <f>SQRT(O63)</f>
        <v>6186.8716644670785</v>
      </c>
      <c r="P68" s="2"/>
      <c r="Q68" s="2"/>
      <c r="R68" s="2"/>
      <c r="S68" s="2"/>
      <c r="T68" s="2"/>
      <c r="U68" s="2"/>
    </row>
    <row r="69" spans="1:21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 t="s">
        <v>23</v>
      </c>
      <c r="O69" s="2">
        <f>O60/3</f>
        <v>-6418.5895124212429</v>
      </c>
      <c r="P69" s="2"/>
      <c r="Q69" s="2"/>
      <c r="R69" s="2"/>
      <c r="S69" s="2"/>
      <c r="T69" s="2"/>
      <c r="U69" s="2"/>
    </row>
    <row r="70" spans="1:21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 t="s">
        <v>24</v>
      </c>
      <c r="O71" s="2"/>
      <c r="P71" s="2"/>
      <c r="Q71" s="2"/>
      <c r="R71" s="2"/>
      <c r="S71" s="2"/>
      <c r="T71" s="2"/>
      <c r="U71" s="2"/>
    </row>
    <row r="72" spans="1:21" ht="15.75">
      <c r="A72" s="2"/>
      <c r="B72" s="2">
        <f>4.0434+2.1456*B36-0.43477*B36^2+0.38481*B36^3-0.050479*B36^4</f>
        <v>5.48617719863321</v>
      </c>
      <c r="C72" s="2"/>
      <c r="D72" s="2">
        <f>4.4401+2.2128*B36-0.53518*B36^2+0.17368*B36^3-0.018512*B36^4</f>
        <v>5.8101713254774019</v>
      </c>
      <c r="E72" s="2"/>
      <c r="F72" s="2">
        <f>4.8817+2.5164*D36-0.53557*D36^2+0.09639*D36^3-0.012108*D36^4</f>
        <v>4.8817000000000004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 t="s">
        <v>150</v>
      </c>
      <c r="O73" s="2">
        <f>ROUND(-2*O68*COS(O67/3)-O69,1)</f>
        <v>56.3</v>
      </c>
      <c r="P73" s="2" t="s">
        <v>148</v>
      </c>
      <c r="Q73" s="2"/>
      <c r="R73" s="2"/>
      <c r="S73" s="2"/>
      <c r="T73" s="2"/>
      <c r="U73" s="2"/>
    </row>
    <row r="74" spans="1:21" ht="20.25">
      <c r="A74" s="2"/>
      <c r="B74" s="2">
        <f>4.3755+1.2981*B36-0.53208*B36^2+0.44506*B36^3-0.074005*B36^4</f>
        <v>5.1768610958577943</v>
      </c>
      <c r="C74" s="2"/>
      <c r="D74" s="2">
        <f>5.0075+1.2494*B36-0.78155*B36^2+0.3201*B36^3-0.047601*B36^4</f>
        <v>5.6067780788358226</v>
      </c>
      <c r="E74" s="2"/>
      <c r="F74" s="2">
        <f>5.8938+1.6311*D36-0.91992*D36^2+0.24694*D36^3-0.034344*D36^4</f>
        <v>5.8937999999999997</v>
      </c>
      <c r="G74" s="2"/>
      <c r="H74" s="2"/>
      <c r="I74" s="2"/>
      <c r="J74" s="2"/>
      <c r="K74" s="2"/>
      <c r="L74" s="2"/>
      <c r="M74" s="2"/>
      <c r="N74" s="2" t="s">
        <v>151</v>
      </c>
      <c r="O74" s="2">
        <f>ROUND(-2*O68*COS((O67+2*PI())/3)-O69,1)</f>
        <v>18790.7</v>
      </c>
      <c r="P74" s="2" t="s">
        <v>148</v>
      </c>
      <c r="Q74" s="2"/>
      <c r="R74" s="2"/>
      <c r="S74" s="2"/>
      <c r="T74" s="2"/>
      <c r="U74" s="2"/>
    </row>
    <row r="75" spans="1:21" ht="2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 t="s">
        <v>152</v>
      </c>
      <c r="O75" s="2">
        <f>ROUND(-2*O68*COS((O67-2*PI())/3)-O69,1)</f>
        <v>408.8</v>
      </c>
      <c r="P75" s="2" t="s">
        <v>148</v>
      </c>
      <c r="Q75" s="2"/>
      <c r="R75" s="2"/>
      <c r="S75" s="2"/>
      <c r="T75" s="2"/>
      <c r="U75" s="2"/>
    </row>
    <row r="76" spans="1:21" ht="15.75">
      <c r="A76" s="2"/>
      <c r="B76" s="2">
        <f>0.0708033-0.240584*B36+0.080151*B36^2-0.00990303*B36^3-0.000160472*B36^4</f>
        <v>-6.4141298352887927E-2</v>
      </c>
      <c r="C76" s="2"/>
      <c r="D76" s="2">
        <f>0.124652-0.273702*B36+0.0750076*B36^2-0.0137818*B36^3-0.00145038*B36^4</f>
        <v>-3.8438583734701874E-2</v>
      </c>
      <c r="E76" s="2"/>
      <c r="F76" s="2">
        <f>0.206497-0.281653*D36+0.0716095*D36^2-0.0174537*D36^3-0.00236311*D36^4</f>
        <v>0.20649700000000001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 t="s">
        <v>153</v>
      </c>
      <c r="O77" s="2"/>
      <c r="P77" s="2">
        <f>O73</f>
        <v>56.3</v>
      </c>
      <c r="Q77" s="2" t="s">
        <v>148</v>
      </c>
      <c r="R77" s="2"/>
      <c r="S77" s="2"/>
      <c r="T77" s="2"/>
      <c r="U77" s="2"/>
    </row>
    <row r="78" spans="1:21" ht="20.25">
      <c r="A78" s="2" t="s">
        <v>11</v>
      </c>
      <c r="B78" s="2">
        <f>EXP(B72-(B74/(G35+B76)))</f>
        <v>1.4932258542357416E-2</v>
      </c>
      <c r="C78" s="2"/>
      <c r="D78" s="2">
        <f>EXP(D72-D74/(D76+G35))</f>
        <v>1.4947365713305488E-2</v>
      </c>
      <c r="E78" s="2"/>
      <c r="F78" s="2">
        <f>EXP(F72-F74/(F76+G35))</f>
        <v>8.7070965744095147E-2</v>
      </c>
      <c r="G78" s="2"/>
      <c r="H78" s="2"/>
      <c r="I78" s="2" t="s">
        <v>11</v>
      </c>
      <c r="J78" s="2">
        <f>EXP(D72-(D74/(G35+D76)))</f>
        <v>1.4947365713305488E-2</v>
      </c>
      <c r="K78" s="2"/>
      <c r="L78" s="2"/>
      <c r="M78" s="2"/>
      <c r="N78" s="2" t="s">
        <v>154</v>
      </c>
      <c r="O78" s="2"/>
      <c r="P78" s="2">
        <f>O74</f>
        <v>18790.7</v>
      </c>
      <c r="Q78" s="2" t="s">
        <v>148</v>
      </c>
      <c r="R78" s="2"/>
      <c r="S78" s="2"/>
      <c r="T78" s="2"/>
      <c r="U78" s="2"/>
    </row>
    <row r="79" spans="1:21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>
      <c r="A80" s="2" t="s">
        <v>12</v>
      </c>
      <c r="B80" s="2">
        <f>ROUND(D78*D33,4)</f>
        <v>0.99850000000000005</v>
      </c>
      <c r="C80" s="2" t="s">
        <v>4</v>
      </c>
      <c r="D80" s="2">
        <f>ROUND(B78*D33,3)</f>
        <v>0.997</v>
      </c>
      <c r="E80" s="2" t="s">
        <v>4</v>
      </c>
      <c r="F80" s="2">
        <f>ROUND(D78*D33,3)</f>
        <v>0.998</v>
      </c>
      <c r="G80" s="2"/>
      <c r="H80" s="2"/>
      <c r="I80" s="2" t="s">
        <v>12</v>
      </c>
      <c r="J80" s="2">
        <f>ROUND((J78*D33),4)</f>
        <v>0.99850000000000005</v>
      </c>
      <c r="K80" s="2" t="s">
        <v>4</v>
      </c>
      <c r="L80" s="2"/>
      <c r="M80" s="2"/>
      <c r="N80" s="2" t="s">
        <v>28</v>
      </c>
      <c r="O80" s="2"/>
      <c r="P80" s="2"/>
      <c r="Q80" s="2"/>
      <c r="R80" s="2"/>
      <c r="S80" s="2"/>
      <c r="T80" s="2"/>
      <c r="U80" s="2"/>
    </row>
    <row r="81" spans="1:21" ht="16.5" thickBo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>
      <c r="A82" s="2" t="s">
        <v>13</v>
      </c>
      <c r="B82" s="2">
        <f>ROUND(ABS(B80-G37)/G37*100,1)</f>
        <v>7.2</v>
      </c>
      <c r="C82" s="2" t="s">
        <v>136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4" t="s">
        <v>29</v>
      </c>
      <c r="O82" s="5"/>
      <c r="P82" s="6"/>
      <c r="Q82" s="2"/>
      <c r="R82" s="2"/>
      <c r="S82" s="2"/>
      <c r="T82" s="2"/>
      <c r="U82" s="2"/>
    </row>
    <row r="83" spans="1:21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7"/>
      <c r="O83" s="8"/>
      <c r="P83" s="9"/>
      <c r="Q83" s="2"/>
      <c r="R83" s="2"/>
      <c r="S83" s="2"/>
      <c r="T83" s="2"/>
      <c r="U83" s="2"/>
    </row>
    <row r="84" spans="1:21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7" t="s">
        <v>25</v>
      </c>
      <c r="O84" s="8"/>
      <c r="P84" s="9">
        <f>ROUND((G37*P77)/(N57*G34),4)</f>
        <v>2.8999999999999998E-3</v>
      </c>
      <c r="Q84" s="2"/>
      <c r="R84" s="2"/>
      <c r="S84" s="2"/>
      <c r="T84" s="2"/>
      <c r="U84" s="2"/>
    </row>
    <row r="85" spans="1:21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7"/>
      <c r="O85" s="10" t="s">
        <v>26</v>
      </c>
      <c r="P85" s="9">
        <f>ROUND(B40/O73,4)</f>
        <v>0.7974</v>
      </c>
      <c r="Q85" s="2"/>
      <c r="R85" s="2"/>
      <c r="S85" s="2"/>
      <c r="T85" s="2"/>
      <c r="U85" s="2"/>
    </row>
    <row r="86" spans="1:21" ht="16.5" thickBo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11" t="s">
        <v>27</v>
      </c>
      <c r="O86" s="12"/>
      <c r="P86" s="13">
        <f>ROUND(EXP(P84-1-LN(P84)-LN(1-P85)-(B42/(B40*N57*G34)*LN(1+P85))),4)</f>
        <v>0.91469999999999996</v>
      </c>
      <c r="Q86" s="2"/>
      <c r="R86" s="2"/>
      <c r="S86" s="2"/>
      <c r="T86" s="2"/>
      <c r="U86" s="2"/>
    </row>
    <row r="87" spans="1:21" ht="16.5" thickBo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4" t="s">
        <v>30</v>
      </c>
      <c r="O88" s="5"/>
      <c r="P88" s="6"/>
      <c r="Q88" s="2"/>
      <c r="R88" s="2"/>
      <c r="S88" s="2"/>
      <c r="T88" s="2"/>
      <c r="U88" s="2"/>
    </row>
    <row r="89" spans="1:21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7"/>
      <c r="O89" s="8"/>
      <c r="P89" s="9"/>
      <c r="Q89" s="2"/>
      <c r="R89" s="2"/>
      <c r="S89" s="2"/>
      <c r="T89" s="2"/>
      <c r="U89" s="2"/>
    </row>
    <row r="90" spans="1:21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7" t="s">
        <v>25</v>
      </c>
      <c r="O90" s="8"/>
      <c r="P90" s="9">
        <f>ROUND((G37*P78)/(N57*G34),4)</f>
        <v>0.9758</v>
      </c>
      <c r="Q90" s="2"/>
      <c r="R90" s="2"/>
      <c r="S90" s="2"/>
      <c r="T90" s="2"/>
      <c r="U90" s="2"/>
    </row>
    <row r="91" spans="1:21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7"/>
      <c r="O91" s="10" t="s">
        <v>26</v>
      </c>
      <c r="P91" s="9">
        <f>ROUND(B40/O74,4)</f>
        <v>2.3999999999999998E-3</v>
      </c>
      <c r="Q91" s="2"/>
      <c r="R91" s="2"/>
      <c r="S91" s="2"/>
      <c r="T91" s="2"/>
      <c r="U91" s="2"/>
    </row>
    <row r="92" spans="1:21" ht="16.5" thickBo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11" t="s">
        <v>27</v>
      </c>
      <c r="O92" s="12"/>
      <c r="P92" s="13">
        <f>ROUND(EXP(P90-1-LN(P90)-LN(1-P91)-(B42/(B40*N57*G34)*LN(1+P91))),4)</f>
        <v>0.97629999999999995</v>
      </c>
      <c r="Q92" s="2"/>
      <c r="R92" s="2"/>
      <c r="S92" s="2"/>
      <c r="T92" s="2"/>
      <c r="U92" s="2"/>
    </row>
    <row r="93" spans="1:21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>
      <c r="A99" s="2" t="s">
        <v>34</v>
      </c>
      <c r="B99" s="2">
        <v>25.726400000000002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>
      <c r="A100" s="2" t="s">
        <v>35</v>
      </c>
      <c r="B100" s="2">
        <f>-1.7503*10^3</f>
        <v>-1750.3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>
      <c r="A101" s="2" t="s">
        <v>36</v>
      </c>
      <c r="B101" s="2">
        <f>-6.7151</f>
        <v>-6.7150999999999996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>
      <c r="A102" s="2" t="s">
        <v>19</v>
      </c>
      <c r="B102" s="2">
        <f>-1.2956*10^-9</f>
        <v>-1.2956000000000002E-9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>
      <c r="A103" s="2" t="s">
        <v>37</v>
      </c>
      <c r="B103" s="2">
        <f>4.4341*10^-6</f>
        <v>4.4340999999999996E-6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>
      <c r="A105" s="2" t="s">
        <v>38</v>
      </c>
      <c r="B105" s="2">
        <f>B99+(B100/G34)+(B101*LOG(G34))+(B102*G34)+(B103*G34^2)</f>
        <v>2.883154572726478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>
      <c r="A106" s="2" t="s">
        <v>33</v>
      </c>
      <c r="B106" s="2">
        <f>10^B105</f>
        <v>764.1076939939876</v>
      </c>
      <c r="C106" s="2" t="s">
        <v>39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>
      <c r="A107" s="2"/>
      <c r="B107" s="2">
        <f>ROUND(B106/760,3)</f>
        <v>1.0049999999999999</v>
      </c>
      <c r="C107" s="2" t="s">
        <v>4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>
      <c r="A109" s="2" t="s">
        <v>135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>
      <c r="A111" s="2" t="s">
        <v>13</v>
      </c>
      <c r="B111" s="2">
        <f>ROUND((G37-B107)/B107*100,1)</f>
        <v>7</v>
      </c>
      <c r="C111" s="2" t="s">
        <v>136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</sheetData>
  <phoneticPr fontId="1" type="noConversion"/>
  <pageMargins left="0.75" right="0.75" top="1" bottom="1" header="0.5" footer="0.5"/>
  <pageSetup orientation="landscape" r:id="rId1"/>
  <headerFooter alignWithMargins="0"/>
  <legacyDrawing r:id="rId2"/>
  <oleObjects>
    <oleObject progId="Equation.DSMT4" shapeId="7169" r:id="rId3"/>
    <oleObject progId="Equation.DSMT4" shapeId="7170" r:id="rId4"/>
    <oleObject progId="Equation.DSMT4" shapeId="7171" r:id="rId5"/>
    <oleObject progId="Equation.DSMT4" shapeId="7172" r:id="rId6"/>
    <oleObject progId="Equation.DSMT4" shapeId="7173" r:id="rId7"/>
    <oleObject progId="Equation.DSMT4" shapeId="7174" r:id="rId8"/>
    <oleObject progId="Equation.DSMT4" shapeId="7175" r:id="rId9"/>
    <oleObject progId="Equation.DSMT4" shapeId="7176" r:id="rId10"/>
    <oleObject progId="Equation.DSMT4" shapeId="7177" r:id="rId11"/>
    <oleObject progId="Equation.DSMT4" shapeId="7178" r:id="rId12"/>
    <oleObject progId="Equation.DSMT4" shapeId="7179" r:id="rId13"/>
    <oleObject progId="Equation.DSMT4" shapeId="7180" r:id="rId14"/>
    <oleObject progId="Equation.DSMT4" shapeId="7181" r:id="rId15"/>
    <oleObject progId="Equation.DSMT4" shapeId="7182" r:id="rId16"/>
    <oleObject progId="Equation.DSMT4" shapeId="7183" r:id="rId17"/>
    <oleObject progId="Equation.DSMT4" shapeId="7184" r:id="rId18"/>
    <oleObject progId="Equation.DSMT4" shapeId="7185" r:id="rId19"/>
    <oleObject progId="Equation.DSMT4" shapeId="7186" r:id="rId20"/>
    <oleObject progId="Equation.DSMT4" shapeId="7187" r:id="rId21"/>
    <oleObject progId="Equation.DSMT4" shapeId="7188" r:id="rId22"/>
    <oleObject progId="Equation.DSMT4" shapeId="7189" r:id="rId23"/>
    <oleObject progId="Equation.DSMT4" shapeId="7190" r:id="rId24"/>
    <oleObject progId="Equation.DSMT4" shapeId="7191" r:id="rId25"/>
    <oleObject progId="Equation.DSMT4" shapeId="7192" r:id="rId26"/>
    <oleObject progId="Equation.DSMT4" shapeId="7193" r:id="rId27"/>
    <oleObject progId="Equation.DSMT4" shapeId="7194" r:id="rId28"/>
    <oleObject progId="Equation.DSMT4" shapeId="7195" r:id="rId29"/>
    <oleObject progId="Equation.DSMT4" shapeId="7196" r:id="rId30"/>
    <oleObject progId="Equation.DSMT4" shapeId="7197" r:id="rId31"/>
    <oleObject progId="Equation.DSMT4" shapeId="7198" r:id="rId32"/>
    <oleObject progId="Equation.DSMT4" shapeId="7199" r:id="rId33"/>
    <oleObject progId="Equation.DSMT4" shapeId="7200" r:id="rId3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I104"/>
  <sheetViews>
    <sheetView workbookViewId="0">
      <selection activeCell="I7" sqref="I7"/>
    </sheetView>
  </sheetViews>
  <sheetFormatPr defaultRowHeight="12.75"/>
  <cols>
    <col min="1" max="1" width="39.85546875" customWidth="1"/>
    <col min="3" max="3" width="10" customWidth="1"/>
  </cols>
  <sheetData>
    <row r="1" spans="1:9" ht="18.75">
      <c r="A1" s="15"/>
      <c r="B1" s="18"/>
      <c r="C1" s="18" t="s">
        <v>44</v>
      </c>
      <c r="D1" s="18"/>
      <c r="E1" s="18"/>
      <c r="F1" s="18"/>
      <c r="G1" s="18"/>
      <c r="H1" s="19"/>
      <c r="I1" s="14"/>
    </row>
    <row r="2" spans="1:9" ht="18.75">
      <c r="A2" s="20"/>
      <c r="B2" s="21"/>
      <c r="C2" s="21"/>
      <c r="D2" s="21"/>
      <c r="E2" s="21"/>
      <c r="F2" s="21"/>
      <c r="G2" s="21"/>
      <c r="H2" s="22"/>
      <c r="I2" s="14"/>
    </row>
    <row r="3" spans="1:9" ht="18.75">
      <c r="A3" s="20"/>
      <c r="B3" s="21"/>
      <c r="C3" s="21"/>
      <c r="D3" s="21"/>
      <c r="E3" s="21"/>
      <c r="F3" s="21"/>
      <c r="G3" s="21"/>
      <c r="H3" s="22"/>
      <c r="I3" s="14"/>
    </row>
    <row r="4" spans="1:9" ht="20.25">
      <c r="A4" s="23" t="s">
        <v>45</v>
      </c>
      <c r="B4" s="24" t="s">
        <v>46</v>
      </c>
      <c r="C4" s="24" t="s">
        <v>90</v>
      </c>
      <c r="D4" s="24" t="s">
        <v>162</v>
      </c>
      <c r="E4" s="24" t="s">
        <v>163</v>
      </c>
      <c r="F4" s="24" t="s">
        <v>164</v>
      </c>
      <c r="G4" s="24" t="s">
        <v>165</v>
      </c>
      <c r="H4" s="25" t="s">
        <v>166</v>
      </c>
      <c r="I4" s="14"/>
    </row>
    <row r="5" spans="1:9" ht="22.5">
      <c r="A5" s="26"/>
      <c r="B5" s="27" t="s">
        <v>47</v>
      </c>
      <c r="C5" s="27" t="s">
        <v>91</v>
      </c>
      <c r="D5" s="27" t="s">
        <v>6</v>
      </c>
      <c r="E5" s="27" t="s">
        <v>4</v>
      </c>
      <c r="F5" s="27"/>
      <c r="G5" s="27" t="s">
        <v>167</v>
      </c>
      <c r="H5" s="28" t="s">
        <v>6</v>
      </c>
      <c r="I5" s="14"/>
    </row>
    <row r="6" spans="1:9" ht="18.75">
      <c r="A6" s="29"/>
      <c r="B6" s="30"/>
      <c r="C6" s="30"/>
      <c r="D6" s="30"/>
      <c r="E6" s="30"/>
      <c r="F6" s="30"/>
      <c r="G6" s="30"/>
      <c r="H6" s="31"/>
      <c r="I6" s="14"/>
    </row>
    <row r="7" spans="1:9" ht="18.75">
      <c r="A7" s="29" t="s">
        <v>45</v>
      </c>
      <c r="B7" s="30">
        <v>16.042999999999999</v>
      </c>
      <c r="C7" s="30">
        <v>1.2E-2</v>
      </c>
      <c r="D7" s="30">
        <v>190.6</v>
      </c>
      <c r="E7" s="30">
        <v>45.99</v>
      </c>
      <c r="F7" s="30">
        <v>0.28599999999999998</v>
      </c>
      <c r="G7" s="30">
        <v>98.6</v>
      </c>
      <c r="H7" s="31">
        <v>111.4</v>
      </c>
      <c r="I7" s="14"/>
    </row>
    <row r="8" spans="1:9" ht="18.75">
      <c r="A8" s="29" t="s">
        <v>48</v>
      </c>
      <c r="B8" s="30">
        <v>33.07</v>
      </c>
      <c r="C8" s="30">
        <v>0.1</v>
      </c>
      <c r="D8" s="30">
        <v>305.3</v>
      </c>
      <c r="E8" s="30">
        <v>48.72</v>
      </c>
      <c r="F8" s="30">
        <v>0.27900000000000003</v>
      </c>
      <c r="G8" s="30">
        <v>145.5</v>
      </c>
      <c r="H8" s="31">
        <v>184.6</v>
      </c>
      <c r="I8" s="14"/>
    </row>
    <row r="9" spans="1:9" ht="18.75">
      <c r="A9" s="29" t="s">
        <v>49</v>
      </c>
      <c r="B9" s="30">
        <v>44.097000000000001</v>
      </c>
      <c r="C9" s="30">
        <v>0.152</v>
      </c>
      <c r="D9" s="30">
        <v>369.8</v>
      </c>
      <c r="E9" s="30">
        <v>42.48</v>
      </c>
      <c r="F9" s="30">
        <v>0.27600000000000002</v>
      </c>
      <c r="G9" s="30">
        <v>200</v>
      </c>
      <c r="H9" s="31">
        <v>231.1</v>
      </c>
      <c r="I9" s="14"/>
    </row>
    <row r="10" spans="1:9" ht="18.75">
      <c r="A10" s="29" t="s">
        <v>50</v>
      </c>
      <c r="B10" s="30">
        <v>58.122999999999998</v>
      </c>
      <c r="C10" s="30">
        <v>0.2</v>
      </c>
      <c r="D10" s="30">
        <v>425.1</v>
      </c>
      <c r="E10" s="30">
        <v>37.96</v>
      </c>
      <c r="F10" s="30">
        <v>0.27400000000000002</v>
      </c>
      <c r="G10" s="30">
        <v>255</v>
      </c>
      <c r="H10" s="31">
        <v>272.7</v>
      </c>
      <c r="I10" s="14"/>
    </row>
    <row r="11" spans="1:9" ht="18.75">
      <c r="A11" s="29" t="s">
        <v>51</v>
      </c>
      <c r="B11" s="30">
        <v>72.150000000000006</v>
      </c>
      <c r="C11" s="30">
        <v>0.252</v>
      </c>
      <c r="D11" s="30">
        <v>469.7</v>
      </c>
      <c r="E11" s="30">
        <v>33.700000000000003</v>
      </c>
      <c r="F11" s="30">
        <v>0.27</v>
      </c>
      <c r="G11" s="30">
        <v>313</v>
      </c>
      <c r="H11" s="31">
        <v>309.2</v>
      </c>
      <c r="I11" s="14"/>
    </row>
    <row r="12" spans="1:9" ht="18.75">
      <c r="A12" s="29" t="s">
        <v>52</v>
      </c>
      <c r="B12" s="30">
        <v>86.177000000000007</v>
      </c>
      <c r="C12" s="30">
        <v>0.30099999999999999</v>
      </c>
      <c r="D12" s="30">
        <v>507.6</v>
      </c>
      <c r="E12" s="30">
        <v>30.25</v>
      </c>
      <c r="F12" s="30">
        <v>0.26600000000000001</v>
      </c>
      <c r="G12" s="30">
        <v>371</v>
      </c>
      <c r="H12" s="31">
        <v>341.9</v>
      </c>
      <c r="I12" s="14"/>
    </row>
    <row r="13" spans="1:9" ht="18.75">
      <c r="A13" s="29" t="s">
        <v>53</v>
      </c>
      <c r="B13" s="30">
        <v>100.20399999999999</v>
      </c>
      <c r="C13" s="30">
        <v>0.35</v>
      </c>
      <c r="D13" s="30">
        <v>540.20000000000005</v>
      </c>
      <c r="E13" s="30">
        <v>27.4</v>
      </c>
      <c r="F13" s="30">
        <v>0.26100000000000001</v>
      </c>
      <c r="G13" s="30">
        <v>428</v>
      </c>
      <c r="H13" s="31">
        <v>371.6</v>
      </c>
      <c r="I13" s="14"/>
    </row>
    <row r="14" spans="1:9" ht="18.75">
      <c r="A14" s="29" t="s">
        <v>54</v>
      </c>
      <c r="B14" s="30">
        <v>114.23099999999999</v>
      </c>
      <c r="C14" s="30">
        <v>0.4</v>
      </c>
      <c r="D14" s="30">
        <v>568.70000000000005</v>
      </c>
      <c r="E14" s="30">
        <v>24.9</v>
      </c>
      <c r="F14" s="30">
        <v>0.25600000000000001</v>
      </c>
      <c r="G14" s="30">
        <v>486</v>
      </c>
      <c r="H14" s="31">
        <v>398.8</v>
      </c>
      <c r="I14" s="14"/>
    </row>
    <row r="15" spans="1:9" ht="18.75">
      <c r="A15" s="29" t="s">
        <v>55</v>
      </c>
      <c r="B15" s="30">
        <v>128.25800000000001</v>
      </c>
      <c r="C15" s="30">
        <v>0.44400000000000001</v>
      </c>
      <c r="D15" s="30">
        <v>594.6</v>
      </c>
      <c r="E15" s="30">
        <v>22.9</v>
      </c>
      <c r="F15" s="30">
        <v>0.252</v>
      </c>
      <c r="G15" s="30">
        <v>544</v>
      </c>
      <c r="H15" s="31">
        <v>424</v>
      </c>
      <c r="I15" s="14"/>
    </row>
    <row r="16" spans="1:9" ht="18.75">
      <c r="A16" s="29" t="s">
        <v>56</v>
      </c>
      <c r="B16" s="30">
        <v>142.285</v>
      </c>
      <c r="C16" s="30">
        <v>0.49199999999999999</v>
      </c>
      <c r="D16" s="30">
        <v>617.70000000000005</v>
      </c>
      <c r="E16" s="30">
        <v>21.1</v>
      </c>
      <c r="F16" s="30">
        <v>0.247</v>
      </c>
      <c r="G16" s="30">
        <v>600</v>
      </c>
      <c r="H16" s="31">
        <v>447.3</v>
      </c>
      <c r="I16" s="14"/>
    </row>
    <row r="17" spans="1:9" ht="18.75">
      <c r="A17" s="29" t="s">
        <v>57</v>
      </c>
      <c r="B17" s="30">
        <v>58.122999999999998</v>
      </c>
      <c r="C17" s="30">
        <v>0.18099999999999999</v>
      </c>
      <c r="D17" s="30">
        <v>408.1</v>
      </c>
      <c r="E17" s="30">
        <v>36.479999999999997</v>
      </c>
      <c r="F17" s="30">
        <v>0.28199999999999997</v>
      </c>
      <c r="G17" s="30">
        <v>262.7</v>
      </c>
      <c r="H17" s="31">
        <v>261.39999999999998</v>
      </c>
      <c r="I17" s="14"/>
    </row>
    <row r="18" spans="1:9" ht="18.75">
      <c r="A18" s="29" t="s">
        <v>58</v>
      </c>
      <c r="B18" s="30">
        <v>114.23099999999999</v>
      </c>
      <c r="C18" s="30">
        <v>0.30199999999999999</v>
      </c>
      <c r="D18" s="30">
        <v>544</v>
      </c>
      <c r="E18" s="30">
        <v>25.68</v>
      </c>
      <c r="F18" s="30">
        <v>0.26600000000000001</v>
      </c>
      <c r="G18" s="30">
        <v>468</v>
      </c>
      <c r="H18" s="31">
        <v>372.4</v>
      </c>
      <c r="I18" s="14"/>
    </row>
    <row r="19" spans="1:9" ht="18.75">
      <c r="A19" s="29" t="s">
        <v>59</v>
      </c>
      <c r="B19" s="30">
        <v>70.134</v>
      </c>
      <c r="C19" s="30">
        <v>0.19600000000000001</v>
      </c>
      <c r="D19" s="30">
        <v>511.8</v>
      </c>
      <c r="E19" s="30">
        <v>45.02</v>
      </c>
      <c r="F19" s="30">
        <v>0.27300000000000002</v>
      </c>
      <c r="G19" s="30">
        <v>258</v>
      </c>
      <c r="H19" s="31">
        <v>322.39999999999998</v>
      </c>
      <c r="I19" s="14"/>
    </row>
    <row r="20" spans="1:9" ht="18.75">
      <c r="A20" s="29" t="s">
        <v>60</v>
      </c>
      <c r="B20" s="30">
        <v>84.161000000000001</v>
      </c>
      <c r="C20" s="30">
        <v>0.21</v>
      </c>
      <c r="D20" s="30">
        <v>553.6</v>
      </c>
      <c r="E20" s="30">
        <v>40.729999999999997</v>
      </c>
      <c r="F20" s="30">
        <v>0.27300000000000002</v>
      </c>
      <c r="G20" s="30">
        <v>308</v>
      </c>
      <c r="H20" s="31">
        <v>353.9</v>
      </c>
      <c r="I20" s="14"/>
    </row>
    <row r="21" spans="1:9" ht="18.75">
      <c r="A21" s="29" t="s">
        <v>61</v>
      </c>
      <c r="B21" s="30">
        <v>84.161000000000001</v>
      </c>
      <c r="C21" s="30">
        <v>0.23</v>
      </c>
      <c r="D21" s="30">
        <v>532.79999999999995</v>
      </c>
      <c r="E21" s="30">
        <v>37.85</v>
      </c>
      <c r="F21" s="30">
        <v>0.27200000000000002</v>
      </c>
      <c r="G21" s="30">
        <v>319</v>
      </c>
      <c r="H21" s="31">
        <v>345</v>
      </c>
      <c r="I21" s="14"/>
    </row>
    <row r="22" spans="1:9" ht="18.75">
      <c r="A22" s="29" t="s">
        <v>62</v>
      </c>
      <c r="B22" s="30">
        <v>98.188000000000002</v>
      </c>
      <c r="C22" s="30">
        <v>0.23499999999999999</v>
      </c>
      <c r="D22" s="30">
        <v>572.20000000000005</v>
      </c>
      <c r="E22" s="30">
        <v>34.71</v>
      </c>
      <c r="F22" s="30">
        <v>0.26900000000000002</v>
      </c>
      <c r="G22" s="30">
        <v>368</v>
      </c>
      <c r="H22" s="31">
        <v>374.1</v>
      </c>
      <c r="I22" s="14"/>
    </row>
    <row r="23" spans="1:9" ht="18.75">
      <c r="A23" s="29" t="s">
        <v>63</v>
      </c>
      <c r="B23" s="30">
        <v>28.053999999999998</v>
      </c>
      <c r="C23" s="30">
        <v>8.6999999999999994E-2</v>
      </c>
      <c r="D23" s="30">
        <v>282.3</v>
      </c>
      <c r="E23" s="30">
        <v>50.4</v>
      </c>
      <c r="F23" s="30">
        <v>0.28100000000000003</v>
      </c>
      <c r="G23" s="30">
        <v>131</v>
      </c>
      <c r="H23" s="31">
        <v>169.4</v>
      </c>
      <c r="I23" s="14"/>
    </row>
    <row r="24" spans="1:9" ht="18.75">
      <c r="A24" s="29" t="s">
        <v>64</v>
      </c>
      <c r="B24" s="30">
        <v>42.081000000000003</v>
      </c>
      <c r="C24" s="30">
        <v>0.14000000000000001</v>
      </c>
      <c r="D24" s="30">
        <v>365.6</v>
      </c>
      <c r="E24" s="30">
        <v>46.65</v>
      </c>
      <c r="F24" s="30">
        <v>0.28899999999999998</v>
      </c>
      <c r="G24" s="30">
        <v>188.4</v>
      </c>
      <c r="H24" s="31">
        <v>225.5</v>
      </c>
      <c r="I24" s="14"/>
    </row>
    <row r="25" spans="1:9" ht="18.75">
      <c r="A25" s="29" t="s">
        <v>65</v>
      </c>
      <c r="B25" s="30">
        <v>56.107999999999997</v>
      </c>
      <c r="C25" s="30">
        <v>0.191</v>
      </c>
      <c r="D25" s="30">
        <v>420</v>
      </c>
      <c r="E25" s="30">
        <v>40.43</v>
      </c>
      <c r="F25" s="30">
        <v>0.27700000000000002</v>
      </c>
      <c r="G25" s="30">
        <v>239.3</v>
      </c>
      <c r="H25" s="31">
        <v>266.89999999999998</v>
      </c>
      <c r="I25" s="14"/>
    </row>
    <row r="26" spans="1:9" ht="18.75">
      <c r="A26" s="29" t="s">
        <v>66</v>
      </c>
      <c r="B26" s="30">
        <v>56.107999999999997</v>
      </c>
      <c r="C26" s="30">
        <v>0.20499999999999999</v>
      </c>
      <c r="D26" s="30">
        <v>435.6</v>
      </c>
      <c r="E26" s="30">
        <v>42.43</v>
      </c>
      <c r="F26" s="30">
        <v>0.27300000000000002</v>
      </c>
      <c r="G26" s="30">
        <v>233.8</v>
      </c>
      <c r="H26" s="31">
        <v>276.89999999999998</v>
      </c>
      <c r="I26" s="14"/>
    </row>
    <row r="27" spans="1:9" ht="18.75">
      <c r="A27" s="29" t="s">
        <v>67</v>
      </c>
      <c r="B27" s="30">
        <v>56.107999999999997</v>
      </c>
      <c r="C27" s="30">
        <v>0.218</v>
      </c>
      <c r="D27" s="30">
        <v>428.6</v>
      </c>
      <c r="E27" s="30">
        <v>41</v>
      </c>
      <c r="F27" s="30">
        <v>0.27500000000000002</v>
      </c>
      <c r="G27" s="30">
        <v>237.7</v>
      </c>
      <c r="H27" s="31">
        <v>274</v>
      </c>
      <c r="I27" s="14"/>
    </row>
    <row r="28" spans="1:9" ht="18.75">
      <c r="A28" s="29" t="s">
        <v>68</v>
      </c>
      <c r="B28" s="30">
        <v>84.161000000000001</v>
      </c>
      <c r="C28" s="30">
        <v>0.28000000000000003</v>
      </c>
      <c r="D28" s="30">
        <v>504</v>
      </c>
      <c r="E28" s="30">
        <v>31.4</v>
      </c>
      <c r="F28" s="30">
        <v>0.26500000000000001</v>
      </c>
      <c r="G28" s="30">
        <v>354</v>
      </c>
      <c r="H28" s="31">
        <v>336.3</v>
      </c>
      <c r="I28" s="14"/>
    </row>
    <row r="29" spans="1:9" ht="18.75">
      <c r="A29" s="29" t="s">
        <v>69</v>
      </c>
      <c r="B29" s="30">
        <v>56.107999999999997</v>
      </c>
      <c r="C29" s="30">
        <v>0.19400000000000001</v>
      </c>
      <c r="D29" s="30">
        <v>417.9</v>
      </c>
      <c r="E29" s="30">
        <v>40</v>
      </c>
      <c r="F29" s="30">
        <v>0.27500000000000002</v>
      </c>
      <c r="G29" s="30">
        <v>238.9</v>
      </c>
      <c r="H29" s="31">
        <v>266.3</v>
      </c>
      <c r="I29" s="14"/>
    </row>
    <row r="30" spans="1:9" ht="18.75">
      <c r="A30" s="29" t="s">
        <v>70</v>
      </c>
      <c r="B30" s="30">
        <v>54.091999999999999</v>
      </c>
      <c r="C30" s="30">
        <v>0.19</v>
      </c>
      <c r="D30" s="30">
        <v>425.2</v>
      </c>
      <c r="E30" s="30">
        <v>42.77</v>
      </c>
      <c r="F30" s="30">
        <v>0.26700000000000002</v>
      </c>
      <c r="G30" s="30">
        <v>220.4</v>
      </c>
      <c r="H30" s="31">
        <v>268.7</v>
      </c>
      <c r="I30" s="14"/>
    </row>
    <row r="31" spans="1:9" ht="18.75">
      <c r="A31" s="29" t="s">
        <v>71</v>
      </c>
      <c r="B31" s="30">
        <v>82.144999999999996</v>
      </c>
      <c r="C31" s="30">
        <v>0.21199999999999999</v>
      </c>
      <c r="D31" s="30">
        <v>560.4</v>
      </c>
      <c r="E31" s="30">
        <v>43.5</v>
      </c>
      <c r="F31" s="30">
        <v>0.27200000000000002</v>
      </c>
      <c r="G31" s="30">
        <v>291</v>
      </c>
      <c r="H31" s="31">
        <v>356.1</v>
      </c>
      <c r="I31" s="14"/>
    </row>
    <row r="32" spans="1:9" ht="18.75">
      <c r="A32" s="29" t="s">
        <v>72</v>
      </c>
      <c r="B32" s="30">
        <v>26.038</v>
      </c>
      <c r="C32" s="30">
        <v>0.187</v>
      </c>
      <c r="D32" s="30">
        <v>308.3</v>
      </c>
      <c r="E32" s="30">
        <v>61.39</v>
      </c>
      <c r="F32" s="30">
        <v>0.27100000000000002</v>
      </c>
      <c r="G32" s="30">
        <v>113</v>
      </c>
      <c r="H32" s="31">
        <v>189.4</v>
      </c>
      <c r="I32" s="14"/>
    </row>
    <row r="33" spans="1:9" ht="18.75">
      <c r="A33" s="29" t="s">
        <v>73</v>
      </c>
      <c r="B33" s="30">
        <v>78.114000000000004</v>
      </c>
      <c r="C33" s="30">
        <v>0.21</v>
      </c>
      <c r="D33" s="30">
        <v>562.20000000000005</v>
      </c>
      <c r="E33" s="30">
        <v>48.98</v>
      </c>
      <c r="F33" s="30">
        <v>0.27100000000000002</v>
      </c>
      <c r="G33" s="30">
        <v>259</v>
      </c>
      <c r="H33" s="31">
        <v>353.2</v>
      </c>
      <c r="I33" s="14"/>
    </row>
    <row r="34" spans="1:9" ht="18.75">
      <c r="A34" s="29" t="s">
        <v>74</v>
      </c>
      <c r="B34" s="30">
        <v>92.141000000000005</v>
      </c>
      <c r="C34" s="30">
        <v>0.26200000000000001</v>
      </c>
      <c r="D34" s="30">
        <v>591.79999999999995</v>
      </c>
      <c r="E34" s="30">
        <v>41.06</v>
      </c>
      <c r="F34" s="30">
        <v>0.26400000000000001</v>
      </c>
      <c r="G34" s="30">
        <v>316</v>
      </c>
      <c r="H34" s="31">
        <v>383.8</v>
      </c>
      <c r="I34" s="14"/>
    </row>
    <row r="35" spans="1:9" ht="18.75">
      <c r="A35" s="29" t="s">
        <v>75</v>
      </c>
      <c r="B35" s="30">
        <v>106.167</v>
      </c>
      <c r="C35" s="30">
        <v>0.30299999999999999</v>
      </c>
      <c r="D35" s="30">
        <v>617.20000000000005</v>
      </c>
      <c r="E35" s="30">
        <v>36.06</v>
      </c>
      <c r="F35" s="30">
        <v>0.26300000000000001</v>
      </c>
      <c r="G35" s="30">
        <v>374</v>
      </c>
      <c r="H35" s="31">
        <v>409.4</v>
      </c>
      <c r="I35" s="14"/>
    </row>
    <row r="36" spans="1:9" ht="18.75">
      <c r="A36" s="29" t="s">
        <v>76</v>
      </c>
      <c r="B36" s="30">
        <v>120.194</v>
      </c>
      <c r="C36" s="30">
        <v>0.32600000000000001</v>
      </c>
      <c r="D36" s="30">
        <v>631.1</v>
      </c>
      <c r="E36" s="30">
        <v>32.090000000000003</v>
      </c>
      <c r="F36" s="30">
        <v>0.26100000000000001</v>
      </c>
      <c r="G36" s="30">
        <v>427</v>
      </c>
      <c r="H36" s="31">
        <v>425.6</v>
      </c>
      <c r="I36" s="14"/>
    </row>
    <row r="37" spans="1:9" ht="18.75">
      <c r="A37" s="29" t="s">
        <v>77</v>
      </c>
      <c r="B37" s="30">
        <v>106.167</v>
      </c>
      <c r="C37" s="30">
        <v>0.31</v>
      </c>
      <c r="D37" s="30">
        <v>630.29999999999995</v>
      </c>
      <c r="E37" s="30">
        <v>37.340000000000003</v>
      </c>
      <c r="F37" s="30">
        <v>0.26300000000000001</v>
      </c>
      <c r="G37" s="30">
        <v>369</v>
      </c>
      <c r="H37" s="31">
        <v>417.6</v>
      </c>
      <c r="I37" s="14"/>
    </row>
    <row r="38" spans="1:9" ht="18.75">
      <c r="A38" s="29" t="s">
        <v>78</v>
      </c>
      <c r="B38" s="30">
        <v>106.167</v>
      </c>
      <c r="C38" s="30">
        <v>0.32600000000000001</v>
      </c>
      <c r="D38" s="30">
        <v>617.1</v>
      </c>
      <c r="E38" s="30">
        <v>35.36</v>
      </c>
      <c r="F38" s="30">
        <v>0.25900000000000001</v>
      </c>
      <c r="G38" s="30">
        <v>376</v>
      </c>
      <c r="H38" s="31">
        <v>412.3</v>
      </c>
      <c r="I38" s="14"/>
    </row>
    <row r="39" spans="1:9" ht="18.75">
      <c r="A39" s="29" t="s">
        <v>79</v>
      </c>
      <c r="B39" s="30">
        <v>106.167</v>
      </c>
      <c r="C39" s="30">
        <v>0.32200000000000001</v>
      </c>
      <c r="D39" s="30">
        <v>616.20000000000005</v>
      </c>
      <c r="E39" s="30">
        <v>35.11</v>
      </c>
      <c r="F39" s="30">
        <v>0.26</v>
      </c>
      <c r="G39" s="30">
        <v>379</v>
      </c>
      <c r="H39" s="31">
        <v>411.5</v>
      </c>
      <c r="I39" s="14"/>
    </row>
    <row r="40" spans="1:9" ht="18.75">
      <c r="A40" s="29" t="s">
        <v>80</v>
      </c>
      <c r="B40" s="30">
        <v>104.152</v>
      </c>
      <c r="C40" s="30">
        <v>0.29699999999999999</v>
      </c>
      <c r="D40" s="30">
        <v>636</v>
      </c>
      <c r="E40" s="30">
        <v>38.4</v>
      </c>
      <c r="F40" s="30">
        <v>0.25600000000000001</v>
      </c>
      <c r="G40" s="30">
        <v>352</v>
      </c>
      <c r="H40" s="31">
        <v>418.3</v>
      </c>
      <c r="I40" s="14"/>
    </row>
    <row r="41" spans="1:9" ht="18.75">
      <c r="A41" s="29" t="s">
        <v>81</v>
      </c>
      <c r="B41" s="30">
        <v>128.17400000000001</v>
      </c>
      <c r="C41" s="30">
        <v>0.30199999999999999</v>
      </c>
      <c r="D41" s="30">
        <v>748.4</v>
      </c>
      <c r="E41" s="30">
        <v>40.51</v>
      </c>
      <c r="F41" s="30">
        <v>0.26900000000000002</v>
      </c>
      <c r="G41" s="30">
        <v>413</v>
      </c>
      <c r="H41" s="31">
        <v>491.2</v>
      </c>
      <c r="I41" s="14"/>
    </row>
    <row r="42" spans="1:9" ht="18.75">
      <c r="A42" s="29" t="s">
        <v>82</v>
      </c>
      <c r="B42" s="30">
        <v>154.21100000000001</v>
      </c>
      <c r="C42" s="30">
        <v>0.36499999999999999</v>
      </c>
      <c r="D42" s="30">
        <v>789.3</v>
      </c>
      <c r="E42" s="30">
        <v>38.5</v>
      </c>
      <c r="F42" s="30">
        <v>0.29499999999999998</v>
      </c>
      <c r="G42" s="30">
        <v>502</v>
      </c>
      <c r="H42" s="31">
        <v>528.20000000000005</v>
      </c>
      <c r="I42" s="14"/>
    </row>
    <row r="43" spans="1:9" ht="18.75">
      <c r="A43" s="29" t="s">
        <v>83</v>
      </c>
      <c r="B43" s="30">
        <v>30.026</v>
      </c>
      <c r="C43" s="30">
        <v>0.28199999999999997</v>
      </c>
      <c r="D43" s="30">
        <v>408</v>
      </c>
      <c r="E43" s="30">
        <v>65.900000000000006</v>
      </c>
      <c r="F43" s="30">
        <v>0.223</v>
      </c>
      <c r="G43" s="30">
        <v>115</v>
      </c>
      <c r="H43" s="31">
        <v>254.1</v>
      </c>
      <c r="I43" s="14"/>
    </row>
    <row r="44" spans="1:9" ht="18.75">
      <c r="A44" s="29" t="s">
        <v>84</v>
      </c>
      <c r="B44" s="30">
        <v>44.052999999999997</v>
      </c>
      <c r="C44" s="30">
        <v>0.29099999999999998</v>
      </c>
      <c r="D44" s="30">
        <v>466</v>
      </c>
      <c r="E44" s="30">
        <v>55.5</v>
      </c>
      <c r="F44" s="30">
        <v>0.221</v>
      </c>
      <c r="G44" s="30">
        <v>154</v>
      </c>
      <c r="H44" s="31">
        <v>294</v>
      </c>
      <c r="I44" s="14"/>
    </row>
    <row r="45" spans="1:9" ht="18.75">
      <c r="A45" s="29" t="s">
        <v>85</v>
      </c>
      <c r="B45" s="30">
        <v>74.078999999999994</v>
      </c>
      <c r="C45" s="30">
        <v>0.33100000000000002</v>
      </c>
      <c r="D45" s="30">
        <v>506.6</v>
      </c>
      <c r="E45" s="30">
        <v>47.5</v>
      </c>
      <c r="F45" s="30">
        <v>0.25700000000000001</v>
      </c>
      <c r="G45" s="30">
        <v>228</v>
      </c>
      <c r="H45" s="31">
        <v>350.2</v>
      </c>
      <c r="I45" s="14"/>
    </row>
    <row r="46" spans="1:9" ht="18.75">
      <c r="A46" s="29" t="s">
        <v>137</v>
      </c>
      <c r="B46" s="30">
        <v>88.105999999999995</v>
      </c>
      <c r="C46" s="30">
        <v>0.36599999999999999</v>
      </c>
      <c r="D46" s="30">
        <v>523.29999999999995</v>
      </c>
      <c r="E46" s="30">
        <v>38.799999999999997</v>
      </c>
      <c r="F46" s="30">
        <v>0.255</v>
      </c>
      <c r="G46" s="30">
        <v>286</v>
      </c>
      <c r="H46" s="31">
        <v>350.2</v>
      </c>
      <c r="I46" s="14"/>
    </row>
    <row r="47" spans="1:9" ht="18.75">
      <c r="A47" s="29" t="s">
        <v>86</v>
      </c>
      <c r="B47" s="30">
        <v>58.08</v>
      </c>
      <c r="C47" s="30">
        <v>0.307</v>
      </c>
      <c r="D47" s="30">
        <v>508.2</v>
      </c>
      <c r="E47" s="30">
        <v>47.01</v>
      </c>
      <c r="F47" s="30">
        <v>0.23300000000000001</v>
      </c>
      <c r="G47" s="30">
        <v>209</v>
      </c>
      <c r="H47" s="31">
        <v>329.4</v>
      </c>
      <c r="I47" s="14"/>
    </row>
    <row r="48" spans="1:9" ht="18.75">
      <c r="A48" s="29" t="s">
        <v>87</v>
      </c>
      <c r="B48" s="30">
        <v>72.106999999999999</v>
      </c>
      <c r="C48" s="30">
        <v>0.32300000000000001</v>
      </c>
      <c r="D48" s="30">
        <v>535.5</v>
      </c>
      <c r="E48" s="30">
        <v>41.5</v>
      </c>
      <c r="F48" s="30">
        <v>0.249</v>
      </c>
      <c r="G48" s="30">
        <v>267</v>
      </c>
      <c r="H48" s="31">
        <v>352.8</v>
      </c>
      <c r="I48" s="14"/>
    </row>
    <row r="49" spans="1:9" ht="18.75">
      <c r="A49" s="29" t="s">
        <v>88</v>
      </c>
      <c r="B49" s="30">
        <v>74.123000000000005</v>
      </c>
      <c r="C49" s="30">
        <v>0.28100000000000003</v>
      </c>
      <c r="D49" s="30">
        <v>466.7</v>
      </c>
      <c r="E49" s="30">
        <v>36.4</v>
      </c>
      <c r="F49" s="30">
        <v>0.26300000000000001</v>
      </c>
      <c r="G49" s="30">
        <v>280</v>
      </c>
      <c r="H49" s="31">
        <v>307.60000000000002</v>
      </c>
      <c r="I49" s="14"/>
    </row>
    <row r="50" spans="1:9" ht="18.75">
      <c r="A50" s="29" t="s">
        <v>89</v>
      </c>
      <c r="B50" s="30">
        <v>88.15</v>
      </c>
      <c r="C50" s="30">
        <v>0.26600000000000001</v>
      </c>
      <c r="D50" s="30">
        <v>497.1</v>
      </c>
      <c r="E50" s="30">
        <v>34.299999999999997</v>
      </c>
      <c r="F50" s="30">
        <v>0.27300000000000002</v>
      </c>
      <c r="G50" s="30">
        <v>329</v>
      </c>
      <c r="H50" s="31">
        <v>328.4</v>
      </c>
      <c r="I50" s="14"/>
    </row>
    <row r="51" spans="1:9" ht="18.75">
      <c r="A51" s="29" t="s">
        <v>92</v>
      </c>
      <c r="B51" s="30">
        <v>32.042000000000002</v>
      </c>
      <c r="C51" s="30">
        <v>0.56399999999999995</v>
      </c>
      <c r="D51" s="30">
        <v>512.6</v>
      </c>
      <c r="E51" s="30">
        <v>80.97</v>
      </c>
      <c r="F51" s="30">
        <v>0.224</v>
      </c>
      <c r="G51" s="30">
        <v>118</v>
      </c>
      <c r="H51" s="31">
        <v>337.9</v>
      </c>
      <c r="I51" s="14"/>
    </row>
    <row r="52" spans="1:9" ht="18.75">
      <c r="A52" s="29" t="s">
        <v>93</v>
      </c>
      <c r="B52" s="30">
        <v>46.069000000000003</v>
      </c>
      <c r="C52" s="30">
        <v>0.64500000000000002</v>
      </c>
      <c r="D52" s="30">
        <v>513.9</v>
      </c>
      <c r="E52" s="30">
        <v>61.48</v>
      </c>
      <c r="F52" s="30">
        <v>0.24</v>
      </c>
      <c r="G52" s="30">
        <v>167</v>
      </c>
      <c r="H52" s="31">
        <v>351.4</v>
      </c>
      <c r="I52" s="14"/>
    </row>
    <row r="53" spans="1:9" ht="18.75">
      <c r="A53" s="29" t="s">
        <v>94</v>
      </c>
      <c r="B53" s="30">
        <v>60.095999999999997</v>
      </c>
      <c r="C53" s="30">
        <v>0.622</v>
      </c>
      <c r="D53" s="30">
        <v>536.79999999999995</v>
      </c>
      <c r="E53" s="30">
        <v>51.75</v>
      </c>
      <c r="F53" s="30">
        <v>0.254</v>
      </c>
      <c r="G53" s="30">
        <v>219</v>
      </c>
      <c r="H53" s="31">
        <v>370.4</v>
      </c>
      <c r="I53" s="14"/>
    </row>
    <row r="54" spans="1:9" ht="18.75">
      <c r="A54" s="29" t="s">
        <v>95</v>
      </c>
      <c r="B54" s="30">
        <v>74.123000000000005</v>
      </c>
      <c r="C54" s="30">
        <v>0.59399999999999997</v>
      </c>
      <c r="D54" s="30">
        <v>563.1</v>
      </c>
      <c r="E54" s="30">
        <v>44.23</v>
      </c>
      <c r="F54" s="30">
        <v>0.26</v>
      </c>
      <c r="G54" s="30">
        <v>275</v>
      </c>
      <c r="H54" s="31">
        <v>390.8</v>
      </c>
      <c r="I54" s="14"/>
    </row>
    <row r="55" spans="1:9" ht="18.75">
      <c r="A55" s="29" t="s">
        <v>96</v>
      </c>
      <c r="B55" s="30">
        <v>102.17700000000001</v>
      </c>
      <c r="C55" s="30">
        <v>0.57899999999999996</v>
      </c>
      <c r="D55" s="30">
        <v>611.4</v>
      </c>
      <c r="E55" s="30">
        <v>35.1</v>
      </c>
      <c r="F55" s="30">
        <v>0.26300000000000001</v>
      </c>
      <c r="G55" s="30">
        <v>381</v>
      </c>
      <c r="H55" s="31">
        <v>430.6</v>
      </c>
      <c r="I55" s="14"/>
    </row>
    <row r="56" spans="1:9" ht="18.75">
      <c r="A56" s="29" t="s">
        <v>97</v>
      </c>
      <c r="B56" s="30">
        <v>60.095999999999997</v>
      </c>
      <c r="C56" s="30">
        <v>0.66800000000000004</v>
      </c>
      <c r="D56" s="30">
        <v>508.3</v>
      </c>
      <c r="E56" s="30">
        <v>47.62</v>
      </c>
      <c r="F56" s="30">
        <v>0.248</v>
      </c>
      <c r="G56" s="30">
        <v>220</v>
      </c>
      <c r="H56" s="31">
        <v>355.4</v>
      </c>
      <c r="I56" s="14"/>
    </row>
    <row r="57" spans="1:9" ht="18.75">
      <c r="A57" s="29" t="s">
        <v>98</v>
      </c>
      <c r="B57" s="30">
        <v>94.113</v>
      </c>
      <c r="C57" s="30">
        <v>0.44400000000000001</v>
      </c>
      <c r="D57" s="30">
        <v>694.3</v>
      </c>
      <c r="E57" s="30">
        <v>61.3</v>
      </c>
      <c r="F57" s="30">
        <v>0.24299999999999999</v>
      </c>
      <c r="G57" s="30">
        <v>229</v>
      </c>
      <c r="H57" s="31">
        <v>455</v>
      </c>
      <c r="I57" s="14"/>
    </row>
    <row r="58" spans="1:9" ht="18.75">
      <c r="A58" s="29" t="s">
        <v>99</v>
      </c>
      <c r="B58" s="30">
        <v>62.067999999999998</v>
      </c>
      <c r="C58" s="30">
        <v>0.48699999999999999</v>
      </c>
      <c r="D58" s="30">
        <v>719.7</v>
      </c>
      <c r="E58" s="30">
        <v>77</v>
      </c>
      <c r="F58" s="30">
        <v>0.246</v>
      </c>
      <c r="G58" s="30">
        <v>191</v>
      </c>
      <c r="H58" s="31">
        <v>470.5</v>
      </c>
      <c r="I58" s="14"/>
    </row>
    <row r="59" spans="1:9" ht="18.75">
      <c r="A59" s="29" t="s">
        <v>100</v>
      </c>
      <c r="B59" s="30">
        <v>60.052999999999997</v>
      </c>
      <c r="C59" s="30">
        <v>0.46700000000000003</v>
      </c>
      <c r="D59" s="30">
        <v>592</v>
      </c>
      <c r="E59" s="30">
        <v>57.86</v>
      </c>
      <c r="F59" s="30">
        <v>0.21099999999999999</v>
      </c>
      <c r="G59" s="30">
        <v>179.7</v>
      </c>
      <c r="H59" s="31">
        <v>391.1</v>
      </c>
      <c r="I59" s="14"/>
    </row>
    <row r="60" spans="1:9" ht="18.75">
      <c r="A60" s="29" t="s">
        <v>101</v>
      </c>
      <c r="B60" s="30">
        <v>88.105999999999995</v>
      </c>
      <c r="C60" s="30">
        <v>0.68100000000000005</v>
      </c>
      <c r="D60" s="30">
        <v>615.70000000000005</v>
      </c>
      <c r="E60" s="30">
        <v>40.64</v>
      </c>
      <c r="F60" s="30">
        <v>0.23200000000000001</v>
      </c>
      <c r="G60" s="30">
        <v>291.7</v>
      </c>
      <c r="H60" s="31">
        <v>436.4</v>
      </c>
      <c r="I60" s="14"/>
    </row>
    <row r="61" spans="1:9" ht="18.75">
      <c r="A61" s="29" t="s">
        <v>138</v>
      </c>
      <c r="B61" s="30">
        <v>122.123</v>
      </c>
      <c r="C61" s="30">
        <v>0.60299999999999998</v>
      </c>
      <c r="D61" s="30">
        <v>751</v>
      </c>
      <c r="E61" s="30">
        <v>44.7</v>
      </c>
      <c r="F61" s="30">
        <v>0.246</v>
      </c>
      <c r="G61" s="30">
        <v>344</v>
      </c>
      <c r="H61" s="31">
        <v>522.4</v>
      </c>
      <c r="I61" s="14"/>
    </row>
    <row r="62" spans="1:9" ht="18.75">
      <c r="A62" s="29" t="s">
        <v>102</v>
      </c>
      <c r="B62" s="30">
        <v>41.052999999999997</v>
      </c>
      <c r="C62" s="30">
        <v>0.33800000000000002</v>
      </c>
      <c r="D62" s="30">
        <v>545.5</v>
      </c>
      <c r="E62" s="30">
        <v>48.3</v>
      </c>
      <c r="F62" s="30">
        <v>0.184</v>
      </c>
      <c r="G62" s="30">
        <v>173</v>
      </c>
      <c r="H62" s="31">
        <v>354.8</v>
      </c>
      <c r="I62" s="14"/>
    </row>
    <row r="63" spans="1:9" ht="18.75">
      <c r="A63" s="29" t="s">
        <v>103</v>
      </c>
      <c r="B63" s="30">
        <v>31.056999999999999</v>
      </c>
      <c r="C63" s="30">
        <v>0.28100000000000003</v>
      </c>
      <c r="D63" s="30">
        <v>430.1</v>
      </c>
      <c r="E63" s="30">
        <v>74.599999999999994</v>
      </c>
      <c r="F63" s="30">
        <v>0.32100000000000001</v>
      </c>
      <c r="G63" s="30">
        <v>154</v>
      </c>
      <c r="H63" s="31">
        <v>266.8</v>
      </c>
      <c r="I63" s="14"/>
    </row>
    <row r="64" spans="1:9" ht="18.75">
      <c r="A64" s="29" t="s">
        <v>104</v>
      </c>
      <c r="B64" s="30">
        <v>45.084000000000003</v>
      </c>
      <c r="C64" s="30">
        <v>0.28499999999999998</v>
      </c>
      <c r="D64" s="30">
        <v>456.2</v>
      </c>
      <c r="E64" s="30">
        <v>56.2</v>
      </c>
      <c r="F64" s="30">
        <v>0.307</v>
      </c>
      <c r="G64" s="30">
        <v>207</v>
      </c>
      <c r="H64" s="31">
        <v>289.7</v>
      </c>
      <c r="I64" s="14"/>
    </row>
    <row r="65" spans="1:9" ht="18.75">
      <c r="A65" s="29" t="s">
        <v>105</v>
      </c>
      <c r="B65" s="30">
        <v>61.04</v>
      </c>
      <c r="C65" s="30">
        <v>0.34799999999999998</v>
      </c>
      <c r="D65" s="30">
        <v>588.20000000000005</v>
      </c>
      <c r="E65" s="30">
        <v>63.1</v>
      </c>
      <c r="F65" s="30">
        <v>0.223</v>
      </c>
      <c r="G65" s="30">
        <v>173</v>
      </c>
      <c r="H65" s="31">
        <v>374.4</v>
      </c>
      <c r="I65" s="14"/>
    </row>
    <row r="66" spans="1:9" ht="18.75">
      <c r="A66" s="29" t="s">
        <v>106</v>
      </c>
      <c r="B66" s="30">
        <v>153.822</v>
      </c>
      <c r="C66" s="30">
        <v>0.193</v>
      </c>
      <c r="D66" s="30">
        <v>556.4</v>
      </c>
      <c r="E66" s="30">
        <v>45.6</v>
      </c>
      <c r="F66" s="30">
        <v>0.27200000000000002</v>
      </c>
      <c r="G66" s="30">
        <v>276</v>
      </c>
      <c r="H66" s="31">
        <v>349.8</v>
      </c>
      <c r="I66" s="14"/>
    </row>
    <row r="67" spans="1:9" ht="18.75">
      <c r="A67" s="29" t="s">
        <v>107</v>
      </c>
      <c r="B67" s="30">
        <v>119.377</v>
      </c>
      <c r="C67" s="30">
        <v>0.222</v>
      </c>
      <c r="D67" s="30">
        <v>536.4</v>
      </c>
      <c r="E67" s="30">
        <v>54.72</v>
      </c>
      <c r="F67" s="30">
        <v>0.29299999999999998</v>
      </c>
      <c r="G67" s="30">
        <v>239</v>
      </c>
      <c r="H67" s="31">
        <v>334.3</v>
      </c>
      <c r="I67" s="14"/>
    </row>
    <row r="68" spans="1:9" ht="18.75">
      <c r="A68" s="29" t="s">
        <v>108</v>
      </c>
      <c r="B68" s="30">
        <v>84.932000000000002</v>
      </c>
      <c r="C68" s="30">
        <v>0.19900000000000001</v>
      </c>
      <c r="D68" s="30">
        <v>510</v>
      </c>
      <c r="E68" s="30">
        <v>60.8</v>
      </c>
      <c r="F68" s="30">
        <v>0.26500000000000001</v>
      </c>
      <c r="G68" s="30">
        <v>185</v>
      </c>
      <c r="H68" s="31">
        <v>312.89999999999998</v>
      </c>
      <c r="I68" s="14"/>
    </row>
    <row r="69" spans="1:9" ht="18.75">
      <c r="A69" s="29" t="s">
        <v>109</v>
      </c>
      <c r="B69" s="30">
        <v>50.488</v>
      </c>
      <c r="C69" s="30">
        <v>0.153</v>
      </c>
      <c r="D69" s="30">
        <v>416.3</v>
      </c>
      <c r="E69" s="30">
        <v>66.8</v>
      </c>
      <c r="F69" s="30">
        <v>0.27600000000000002</v>
      </c>
      <c r="G69" s="30">
        <v>143</v>
      </c>
      <c r="H69" s="31">
        <v>249.1</v>
      </c>
      <c r="I69" s="14"/>
    </row>
    <row r="70" spans="1:9" ht="18.75">
      <c r="A70" s="29" t="s">
        <v>110</v>
      </c>
      <c r="B70" s="30">
        <v>64.513999999999996</v>
      </c>
      <c r="C70" s="30">
        <v>0.19</v>
      </c>
      <c r="D70" s="30">
        <v>460.4</v>
      </c>
      <c r="E70" s="30">
        <v>52.7</v>
      </c>
      <c r="F70" s="30">
        <v>0.27500000000000002</v>
      </c>
      <c r="G70" s="30">
        <v>200</v>
      </c>
      <c r="H70" s="31">
        <v>285.39999999999998</v>
      </c>
      <c r="I70" s="14"/>
    </row>
    <row r="71" spans="1:9" ht="18.75">
      <c r="A71" s="29" t="s">
        <v>111</v>
      </c>
      <c r="B71" s="30">
        <v>112.55800000000001</v>
      </c>
      <c r="C71" s="30">
        <v>0.25</v>
      </c>
      <c r="D71" s="30">
        <v>632.4</v>
      </c>
      <c r="E71" s="30">
        <v>45.2</v>
      </c>
      <c r="F71" s="30">
        <v>0.26500000000000001</v>
      </c>
      <c r="G71" s="30">
        <v>308</v>
      </c>
      <c r="H71" s="31">
        <v>404.9</v>
      </c>
      <c r="I71" s="14"/>
    </row>
    <row r="72" spans="1:9" ht="18.75">
      <c r="A72" s="29" t="s">
        <v>112</v>
      </c>
      <c r="B72" s="30">
        <v>102.03</v>
      </c>
      <c r="C72" s="30">
        <v>0.32700000000000001</v>
      </c>
      <c r="D72" s="30">
        <v>374.2</v>
      </c>
      <c r="E72" s="30">
        <v>40.6</v>
      </c>
      <c r="F72" s="30">
        <v>0.25800000000000001</v>
      </c>
      <c r="G72" s="30">
        <v>198</v>
      </c>
      <c r="H72" s="31">
        <v>247.1</v>
      </c>
      <c r="I72" s="14"/>
    </row>
    <row r="73" spans="1:9" ht="18.75">
      <c r="A73" s="29" t="s">
        <v>113</v>
      </c>
      <c r="B73" s="30">
        <v>39.948</v>
      </c>
      <c r="C73" s="30">
        <v>0</v>
      </c>
      <c r="D73" s="30">
        <v>150.9</v>
      </c>
      <c r="E73" s="30">
        <v>48.98</v>
      </c>
      <c r="F73" s="30">
        <v>0.29099999999999998</v>
      </c>
      <c r="G73" s="30">
        <v>74.599999999999994</v>
      </c>
      <c r="H73" s="31">
        <v>87.3</v>
      </c>
      <c r="I73" s="14"/>
    </row>
    <row r="74" spans="1:9" ht="18.75">
      <c r="A74" s="29" t="s">
        <v>114</v>
      </c>
      <c r="B74" s="30">
        <v>83.8</v>
      </c>
      <c r="C74" s="30">
        <v>0</v>
      </c>
      <c r="D74" s="30">
        <v>209.4</v>
      </c>
      <c r="E74" s="30">
        <v>55.02</v>
      </c>
      <c r="F74" s="30">
        <v>0.28799999999999998</v>
      </c>
      <c r="G74" s="30">
        <v>91.2</v>
      </c>
      <c r="H74" s="31">
        <v>119.8</v>
      </c>
      <c r="I74" s="14"/>
    </row>
    <row r="75" spans="1:9" ht="18.75">
      <c r="A75" s="29" t="s">
        <v>115</v>
      </c>
      <c r="B75" s="30">
        <v>131.30000000000001</v>
      </c>
      <c r="C75" s="30">
        <v>0</v>
      </c>
      <c r="D75" s="30">
        <v>289.7</v>
      </c>
      <c r="E75" s="30">
        <v>58.4</v>
      </c>
      <c r="F75" s="30">
        <v>0.28599999999999998</v>
      </c>
      <c r="G75" s="30">
        <v>118</v>
      </c>
      <c r="H75" s="31">
        <v>165</v>
      </c>
      <c r="I75" s="14"/>
    </row>
    <row r="76" spans="1:9" ht="18.75">
      <c r="A76" s="29" t="s">
        <v>116</v>
      </c>
      <c r="B76" s="30">
        <v>4.0030000000000001</v>
      </c>
      <c r="C76" s="30">
        <v>-0.39</v>
      </c>
      <c r="D76" s="30">
        <v>5.2</v>
      </c>
      <c r="E76" s="30">
        <v>2.2799999999999998</v>
      </c>
      <c r="F76" s="30">
        <v>0.30199999999999999</v>
      </c>
      <c r="G76" s="30">
        <v>57.3</v>
      </c>
      <c r="H76" s="31">
        <v>4.2</v>
      </c>
      <c r="I76" s="14"/>
    </row>
    <row r="77" spans="1:9" ht="18.75">
      <c r="A77" s="29" t="s">
        <v>117</v>
      </c>
      <c r="B77" s="30">
        <v>2.016</v>
      </c>
      <c r="C77" s="30">
        <v>-0.216</v>
      </c>
      <c r="D77" s="30">
        <v>33.19</v>
      </c>
      <c r="E77" s="30">
        <v>13.13</v>
      </c>
      <c r="F77" s="30">
        <v>0.30499999999999999</v>
      </c>
      <c r="G77" s="30">
        <v>64.099999999999994</v>
      </c>
      <c r="H77" s="31">
        <v>20.399999999999999</v>
      </c>
      <c r="I77" s="14"/>
    </row>
    <row r="78" spans="1:9" ht="18.75">
      <c r="A78" s="29" t="s">
        <v>118</v>
      </c>
      <c r="B78" s="30">
        <v>31.998999999999999</v>
      </c>
      <c r="C78" s="30">
        <v>2.1999999999999999E-2</v>
      </c>
      <c r="D78" s="30">
        <v>154.6</v>
      </c>
      <c r="E78" s="30">
        <v>50.43</v>
      </c>
      <c r="F78" s="30">
        <v>0.28799999999999998</v>
      </c>
      <c r="G78" s="30">
        <v>73.400000000000006</v>
      </c>
      <c r="H78" s="31">
        <v>90.2</v>
      </c>
      <c r="I78" s="14"/>
    </row>
    <row r="79" spans="1:9" ht="18.75">
      <c r="A79" s="29" t="s">
        <v>119</v>
      </c>
      <c r="B79" s="30">
        <v>28.013999999999999</v>
      </c>
      <c r="C79" s="30">
        <v>3.7999999999999999E-2</v>
      </c>
      <c r="D79" s="30">
        <v>126.2</v>
      </c>
      <c r="E79" s="30">
        <v>34</v>
      </c>
      <c r="F79" s="30">
        <v>0.28899999999999998</v>
      </c>
      <c r="G79" s="30">
        <v>89.2</v>
      </c>
      <c r="H79" s="31">
        <v>77.3</v>
      </c>
      <c r="I79" s="14"/>
    </row>
    <row r="80" spans="1:9" ht="18.75">
      <c r="A80" s="29" t="s">
        <v>120</v>
      </c>
      <c r="B80" s="30">
        <v>28.850999999999999</v>
      </c>
      <c r="C80" s="30">
        <v>3.5000000000000003E-2</v>
      </c>
      <c r="D80" s="30">
        <v>132.19999999999999</v>
      </c>
      <c r="E80" s="30">
        <v>37.450000000000003</v>
      </c>
      <c r="F80" s="30">
        <v>0.28899999999999998</v>
      </c>
      <c r="G80" s="30">
        <v>84.8</v>
      </c>
      <c r="H80" s="31"/>
      <c r="I80" s="14"/>
    </row>
    <row r="81" spans="1:9" ht="18.75">
      <c r="A81" s="29" t="s">
        <v>121</v>
      </c>
      <c r="B81" s="30">
        <v>70.905000000000001</v>
      </c>
      <c r="C81" s="30">
        <v>6.9000000000000006E-2</v>
      </c>
      <c r="D81" s="30">
        <v>417.2</v>
      </c>
      <c r="E81" s="30">
        <v>77.099999999999994</v>
      </c>
      <c r="F81" s="30">
        <v>0.26500000000000001</v>
      </c>
      <c r="G81" s="30">
        <v>124</v>
      </c>
      <c r="H81" s="31">
        <v>239.1</v>
      </c>
      <c r="I81" s="14"/>
    </row>
    <row r="82" spans="1:9" ht="18.75">
      <c r="A82" s="29" t="s">
        <v>122</v>
      </c>
      <c r="B82" s="30">
        <v>28.01</v>
      </c>
      <c r="C82" s="30">
        <v>4.8000000000000001E-2</v>
      </c>
      <c r="D82" s="30">
        <v>132.9</v>
      </c>
      <c r="E82" s="30">
        <v>34.99</v>
      </c>
      <c r="F82" s="30">
        <v>0.29899999999999999</v>
      </c>
      <c r="G82" s="30">
        <v>93.4</v>
      </c>
      <c r="H82" s="31">
        <v>81.7</v>
      </c>
      <c r="I82" s="14"/>
    </row>
    <row r="83" spans="1:9" ht="18.75">
      <c r="A83" s="29" t="s">
        <v>123</v>
      </c>
      <c r="B83" s="30">
        <v>44.01</v>
      </c>
      <c r="C83" s="30">
        <v>0.224</v>
      </c>
      <c r="D83" s="30">
        <v>304.2</v>
      </c>
      <c r="E83" s="30">
        <v>73.83</v>
      </c>
      <c r="F83" s="30">
        <v>0.27400000000000002</v>
      </c>
      <c r="G83" s="30">
        <v>94</v>
      </c>
      <c r="H83" s="31"/>
      <c r="I83" s="14"/>
    </row>
    <row r="84" spans="1:9" ht="18.75">
      <c r="A84" s="29" t="s">
        <v>124</v>
      </c>
      <c r="B84" s="30">
        <v>76.143000000000001</v>
      </c>
      <c r="C84" s="30">
        <v>0.111</v>
      </c>
      <c r="D84" s="30">
        <v>552</v>
      </c>
      <c r="E84" s="30">
        <v>79</v>
      </c>
      <c r="F84" s="30">
        <v>0.27500000000000002</v>
      </c>
      <c r="G84" s="30">
        <v>160</v>
      </c>
      <c r="H84" s="31">
        <v>319.39999999999998</v>
      </c>
      <c r="I84" s="14"/>
    </row>
    <row r="85" spans="1:9" ht="18.75">
      <c r="A85" s="29" t="s">
        <v>125</v>
      </c>
      <c r="B85" s="30">
        <v>34.082000000000001</v>
      </c>
      <c r="C85" s="30">
        <v>9.4E-2</v>
      </c>
      <c r="D85" s="30">
        <v>373.5</v>
      </c>
      <c r="E85" s="30">
        <v>89.63</v>
      </c>
      <c r="F85" s="30">
        <v>0.28399999999999997</v>
      </c>
      <c r="G85" s="30">
        <v>98.5</v>
      </c>
      <c r="H85" s="31">
        <v>212.8</v>
      </c>
      <c r="I85" s="14"/>
    </row>
    <row r="86" spans="1:9" ht="18.75">
      <c r="A86" s="29" t="s">
        <v>126</v>
      </c>
      <c r="B86" s="30">
        <v>64.064999999999998</v>
      </c>
      <c r="C86" s="30">
        <v>0.245</v>
      </c>
      <c r="D86" s="30">
        <v>430.8</v>
      </c>
      <c r="E86" s="30">
        <v>78.84</v>
      </c>
      <c r="F86" s="30">
        <v>0.26900000000000002</v>
      </c>
      <c r="G86" s="30">
        <v>122</v>
      </c>
      <c r="H86" s="31">
        <v>263.10000000000002</v>
      </c>
      <c r="I86" s="14"/>
    </row>
    <row r="87" spans="1:9" ht="18.75">
      <c r="A87" s="29" t="s">
        <v>127</v>
      </c>
      <c r="B87" s="30">
        <v>80.063999999999993</v>
      </c>
      <c r="C87" s="30">
        <v>0.42399999999999999</v>
      </c>
      <c r="D87" s="30">
        <v>490.9</v>
      </c>
      <c r="E87" s="30">
        <v>82.1</v>
      </c>
      <c r="F87" s="30">
        <v>0.255</v>
      </c>
      <c r="G87" s="30">
        <v>127</v>
      </c>
      <c r="H87" s="31">
        <v>317.89999999999998</v>
      </c>
      <c r="I87" s="14"/>
    </row>
    <row r="88" spans="1:9" ht="18.75">
      <c r="A88" s="29" t="s">
        <v>128</v>
      </c>
      <c r="B88" s="30">
        <v>30.006</v>
      </c>
      <c r="C88" s="30">
        <v>0.58299999999999996</v>
      </c>
      <c r="D88" s="30">
        <v>180.2</v>
      </c>
      <c r="E88" s="30">
        <v>64.8</v>
      </c>
      <c r="F88" s="30">
        <v>0.251</v>
      </c>
      <c r="G88" s="30">
        <v>58</v>
      </c>
      <c r="H88" s="31">
        <v>121.4</v>
      </c>
      <c r="I88" s="14"/>
    </row>
    <row r="89" spans="1:9" ht="20.25">
      <c r="A89" s="29" t="s">
        <v>168</v>
      </c>
      <c r="B89" s="30">
        <v>44.012999999999998</v>
      </c>
      <c r="C89" s="30">
        <v>0.14099999999999999</v>
      </c>
      <c r="D89" s="30">
        <v>309.60000000000002</v>
      </c>
      <c r="E89" s="30">
        <v>72.45</v>
      </c>
      <c r="F89" s="30">
        <v>0.27400000000000002</v>
      </c>
      <c r="G89" s="30">
        <v>97.4</v>
      </c>
      <c r="H89" s="31">
        <v>184.7</v>
      </c>
      <c r="I89" s="14"/>
    </row>
    <row r="90" spans="1:9" ht="18.75">
      <c r="A90" s="29" t="s">
        <v>139</v>
      </c>
      <c r="B90" s="30">
        <v>36.460999999999999</v>
      </c>
      <c r="C90" s="30">
        <v>0.13200000000000001</v>
      </c>
      <c r="D90" s="30">
        <v>324.7</v>
      </c>
      <c r="E90" s="30">
        <v>83.1</v>
      </c>
      <c r="F90" s="30">
        <v>0.249</v>
      </c>
      <c r="G90" s="30">
        <v>81</v>
      </c>
      <c r="H90" s="31">
        <v>188.2</v>
      </c>
      <c r="I90" s="14"/>
    </row>
    <row r="91" spans="1:9" ht="18.75">
      <c r="A91" s="29" t="s">
        <v>129</v>
      </c>
      <c r="B91" s="30">
        <v>27.026</v>
      </c>
      <c r="C91" s="30">
        <v>0.41</v>
      </c>
      <c r="D91" s="30">
        <v>456.7</v>
      </c>
      <c r="E91" s="30">
        <v>53.9</v>
      </c>
      <c r="F91" s="30">
        <v>0.19700000000000001</v>
      </c>
      <c r="G91" s="30">
        <v>139</v>
      </c>
      <c r="H91" s="31">
        <v>298.89999999999998</v>
      </c>
      <c r="I91" s="14"/>
    </row>
    <row r="92" spans="1:9" ht="18.75">
      <c r="A92" s="29" t="s">
        <v>130</v>
      </c>
      <c r="B92" s="30">
        <v>18.015000000000001</v>
      </c>
      <c r="C92" s="30">
        <v>0.34499999999999997</v>
      </c>
      <c r="D92" s="30">
        <v>647.1</v>
      </c>
      <c r="E92" s="30">
        <v>220.55</v>
      </c>
      <c r="F92" s="30">
        <v>0.22900000000000001</v>
      </c>
      <c r="G92" s="30">
        <v>55.9</v>
      </c>
      <c r="H92" s="31">
        <v>373.2</v>
      </c>
      <c r="I92" s="14"/>
    </row>
    <row r="93" spans="1:9" ht="18.75">
      <c r="A93" s="29" t="s">
        <v>131</v>
      </c>
      <c r="B93" s="30">
        <v>17.030999999999999</v>
      </c>
      <c r="C93" s="30">
        <v>0.253</v>
      </c>
      <c r="D93" s="30">
        <v>405.7</v>
      </c>
      <c r="E93" s="30">
        <v>112.8</v>
      </c>
      <c r="F93" s="30">
        <v>0.24199999999999999</v>
      </c>
      <c r="G93" s="30">
        <v>72.5</v>
      </c>
      <c r="H93" s="31">
        <v>239.7</v>
      </c>
      <c r="I93" s="14"/>
    </row>
    <row r="94" spans="1:9" ht="18.75">
      <c r="A94" s="29" t="s">
        <v>132</v>
      </c>
      <c r="B94" s="30">
        <v>63.012999999999998</v>
      </c>
      <c r="C94" s="30">
        <v>0.71399999999999997</v>
      </c>
      <c r="D94" s="30">
        <v>520</v>
      </c>
      <c r="E94" s="30">
        <v>68.900000000000006</v>
      </c>
      <c r="F94" s="30">
        <v>0.23100000000000001</v>
      </c>
      <c r="G94" s="30">
        <v>145</v>
      </c>
      <c r="H94" s="31">
        <v>356.2</v>
      </c>
      <c r="I94" s="14"/>
    </row>
    <row r="95" spans="1:9" ht="19.5" thickBot="1">
      <c r="A95" s="32" t="s">
        <v>133</v>
      </c>
      <c r="B95" s="33">
        <v>98.08</v>
      </c>
      <c r="C95" s="33"/>
      <c r="D95" s="33">
        <v>924</v>
      </c>
      <c r="E95" s="33">
        <v>64</v>
      </c>
      <c r="F95" s="33">
        <v>0.14699999999999999</v>
      </c>
      <c r="G95" s="33">
        <v>177</v>
      </c>
      <c r="H95" s="34">
        <v>610</v>
      </c>
      <c r="I95" s="14"/>
    </row>
    <row r="96" spans="1:9" ht="18.75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8.75">
      <c r="A97" s="14"/>
      <c r="B97" s="14"/>
      <c r="C97" s="14"/>
      <c r="D97" s="14"/>
      <c r="E97" s="14"/>
      <c r="F97" s="14"/>
      <c r="G97" s="14"/>
      <c r="H97" s="14"/>
      <c r="I97" s="14"/>
    </row>
    <row r="98" spans="1:9" ht="20.25">
      <c r="A98" s="14"/>
      <c r="B98" s="14" t="s">
        <v>169</v>
      </c>
      <c r="C98" s="14" t="s">
        <v>140</v>
      </c>
      <c r="D98" s="14"/>
      <c r="E98" s="14"/>
      <c r="F98" s="14"/>
      <c r="G98" s="14"/>
      <c r="H98" s="14"/>
      <c r="I98" s="14"/>
    </row>
    <row r="99" spans="1:9" ht="20.25">
      <c r="A99" s="14"/>
      <c r="B99" s="14" t="s">
        <v>170</v>
      </c>
      <c r="C99" s="14" t="s">
        <v>141</v>
      </c>
      <c r="D99" s="14"/>
      <c r="E99" s="14"/>
      <c r="F99" s="14"/>
      <c r="G99" s="14"/>
      <c r="H99" s="14"/>
      <c r="I99" s="14"/>
    </row>
    <row r="100" spans="1:9" ht="20.25">
      <c r="A100" s="14"/>
      <c r="B100" s="14" t="s">
        <v>171</v>
      </c>
      <c r="C100" s="14" t="s">
        <v>142</v>
      </c>
      <c r="D100" s="14"/>
      <c r="E100" s="14"/>
      <c r="F100" s="14"/>
      <c r="G100" s="14"/>
      <c r="H100" s="14"/>
      <c r="I100" s="14"/>
    </row>
    <row r="101" spans="1:9" ht="20.25">
      <c r="A101" s="14"/>
      <c r="B101" s="14" t="s">
        <v>172</v>
      </c>
      <c r="C101" s="14" t="s">
        <v>143</v>
      </c>
      <c r="D101" s="14"/>
      <c r="E101" s="14"/>
      <c r="F101" s="14"/>
      <c r="G101" s="14"/>
      <c r="H101" s="14"/>
      <c r="I101" s="14"/>
    </row>
    <row r="102" spans="1:9" ht="20.25">
      <c r="A102" s="14"/>
      <c r="B102" s="14" t="s">
        <v>173</v>
      </c>
      <c r="C102" s="14" t="s">
        <v>144</v>
      </c>
      <c r="D102" s="14"/>
      <c r="E102" s="14"/>
      <c r="F102" s="14"/>
      <c r="G102" s="14"/>
      <c r="H102" s="14"/>
      <c r="I102" s="14"/>
    </row>
    <row r="103" spans="1:9" ht="18.75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ht="18.75">
      <c r="A104" s="14" t="s">
        <v>146</v>
      </c>
      <c r="B104" s="14"/>
      <c r="C104" s="14"/>
      <c r="D104" s="14"/>
      <c r="E104" s="14"/>
      <c r="F104" s="14"/>
      <c r="G104" s="14"/>
      <c r="H104" s="14"/>
      <c r="I104" s="14"/>
    </row>
  </sheetData>
  <phoneticPr fontId="1" type="noConversion"/>
  <pageMargins left="0.75" right="0.75" top="1" bottom="1" header="0.5" footer="0.5"/>
  <pageSetup orientation="landscape" r:id="rId1"/>
  <headerFooter alignWithMargins="0"/>
  <legacyDrawing r:id="rId2"/>
  <oleObjects>
    <oleObject progId="Equation.DSMT4" shapeId="5121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2:C62"/>
  <sheetViews>
    <sheetView topLeftCell="A13" workbookViewId="0">
      <selection activeCell="K32" sqref="K32"/>
    </sheetView>
  </sheetViews>
  <sheetFormatPr defaultRowHeight="12.75"/>
  <sheetData>
    <row r="2" spans="1:1" ht="15.75">
      <c r="A2" s="2" t="s">
        <v>159</v>
      </c>
    </row>
    <row r="5" spans="1:1" ht="15.75">
      <c r="A5" s="2"/>
    </row>
    <row r="6" spans="1:1" ht="15.75">
      <c r="A6" s="2"/>
    </row>
    <row r="8" spans="1:1" ht="15.75">
      <c r="A8" s="2"/>
    </row>
    <row r="9" spans="1:1" ht="15.75">
      <c r="A9" s="3"/>
    </row>
    <row r="10" spans="1:1" ht="15.75">
      <c r="A10" s="3"/>
    </row>
    <row r="11" spans="1:1" ht="15.75">
      <c r="A11" s="3"/>
    </row>
    <row r="12" spans="1:1" ht="15.75">
      <c r="A12" s="3"/>
    </row>
    <row r="13" spans="1:1" ht="15.75">
      <c r="A13" s="3"/>
    </row>
    <row r="14" spans="1:1" ht="15.75">
      <c r="A14" s="3"/>
    </row>
    <row r="15" spans="1:1" ht="15.75">
      <c r="A15" s="3"/>
    </row>
    <row r="16" spans="1:1" ht="15.75">
      <c r="A16" s="3"/>
    </row>
    <row r="17" spans="1:1" ht="15.75">
      <c r="A17" s="3"/>
    </row>
    <row r="18" spans="1:1" ht="15.75">
      <c r="A18" s="3"/>
    </row>
    <row r="19" spans="1:1" ht="15.75">
      <c r="A19" s="3"/>
    </row>
    <row r="20" spans="1:1" ht="15.75">
      <c r="A20" s="3"/>
    </row>
    <row r="21" spans="1:1" ht="15.75">
      <c r="A21" s="2"/>
    </row>
    <row r="23" spans="1:1" ht="15.75">
      <c r="A23" s="2" t="s">
        <v>32</v>
      </c>
    </row>
    <row r="25" spans="1:1" ht="15.75">
      <c r="A25" s="2" t="s">
        <v>160</v>
      </c>
    </row>
    <row r="27" spans="1:1" ht="15.75">
      <c r="A27" s="2"/>
    </row>
    <row r="28" spans="1:1" ht="15.75">
      <c r="A28" s="3"/>
    </row>
    <row r="29" spans="1:1" ht="15.75">
      <c r="A29" s="3"/>
    </row>
    <row r="30" spans="1:1" ht="15.75">
      <c r="A30" s="3"/>
    </row>
    <row r="31" spans="1:1" ht="15.75">
      <c r="A31" s="3"/>
    </row>
    <row r="32" spans="1:1" ht="15.75">
      <c r="A32" s="3"/>
    </row>
    <row r="33" spans="1:3" ht="15.75">
      <c r="A33" s="3"/>
    </row>
    <row r="34" spans="1:3" ht="15.75">
      <c r="A34" s="3"/>
    </row>
    <row r="35" spans="1:3" ht="15.75">
      <c r="A35" s="3"/>
    </row>
    <row r="36" spans="1:3" ht="15.75">
      <c r="A36" s="2"/>
    </row>
    <row r="38" spans="1:3" ht="15.75">
      <c r="A38" s="3"/>
      <c r="B38" s="1"/>
    </row>
    <row r="39" spans="1:3" ht="15.75">
      <c r="A39" s="2" t="s">
        <v>32</v>
      </c>
    </row>
    <row r="42" spans="1:3">
      <c r="A42" s="16" t="s">
        <v>161</v>
      </c>
    </row>
    <row r="43" spans="1:3" ht="15.75">
      <c r="A43" s="3"/>
      <c r="B43" s="1"/>
    </row>
    <row r="44" spans="1:3" ht="15.75">
      <c r="A44" s="3"/>
      <c r="B44" s="1"/>
      <c r="C44" s="17" t="s">
        <v>155</v>
      </c>
    </row>
    <row r="45" spans="1:3" ht="15.75">
      <c r="A45" s="3"/>
      <c r="B45" s="1"/>
      <c r="C45" t="s">
        <v>42</v>
      </c>
    </row>
    <row r="46" spans="1:3" ht="16.5">
      <c r="A46" s="2"/>
      <c r="C46" s="17" t="s">
        <v>158</v>
      </c>
    </row>
    <row r="47" spans="1:3" ht="16.5">
      <c r="A47" s="2"/>
      <c r="C47" s="17" t="s">
        <v>156</v>
      </c>
    </row>
    <row r="48" spans="1:3" ht="15.75">
      <c r="A48" s="2"/>
      <c r="C48" s="17" t="s">
        <v>157</v>
      </c>
    </row>
    <row r="49" spans="1:1" ht="15.75">
      <c r="A49" s="2"/>
    </row>
    <row r="50" spans="1:1" ht="15.75">
      <c r="A50" s="2" t="s">
        <v>43</v>
      </c>
    </row>
    <row r="62" spans="1:1" ht="15.75">
      <c r="A62" s="2"/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  <oleObjects>
    <oleObject progId="Equation.DSMT4" shapeId="4108" r:id="rId3"/>
    <oleObject progId="Equation.DSMT4" shapeId="4107" r:id="rId4"/>
    <oleObject progId="Equation.DSMT4" shapeId="4106" r:id="rId5"/>
    <oleObject progId="Equation.DSMT4" shapeId="4105" r:id="rId6"/>
    <oleObject progId="Equation.DSMT4" shapeId="4104" r:id="rId7"/>
    <oleObject progId="Equation.DSMT4" shapeId="4103" r:id="rId8"/>
    <oleObject progId="Equation.DSMT4" shapeId="4102" r:id="rId9"/>
    <oleObject progId="Equation.DSMT4" shapeId="4101" r:id="rId10"/>
    <oleObject progId="Equation.DSMT4" shapeId="4100" r:id="rId11"/>
    <oleObject progId="Equation.DSMT4" shapeId="4099" r:id="rId12"/>
    <oleObject progId="Equation.DSMT4" shapeId="4098" r:id="rId13"/>
    <oleObject progId="Equation.DSMT4" shapeId="4097" r:id="rId14"/>
    <oleObject progId="Equation.DSMT4" shapeId="4116" r:id="rId15"/>
    <oleObject progId="Equation.DSMT4" shapeId="4115" r:id="rId16"/>
    <oleObject progId="Equation.DSMT4" shapeId="4114" r:id="rId17"/>
    <oleObject progId="Equation.DSMT4" shapeId="4113" r:id="rId18"/>
    <oleObject progId="Equation.DSMT4" shapeId="4112" r:id="rId19"/>
    <oleObject progId="Equation.DSMT4" shapeId="4111" r:id="rId20"/>
    <oleObject progId="Equation.DSMT4" shapeId="4110" r:id="rId21"/>
    <oleObject progId="Equation.DSMT4" shapeId="4109" r:id="rId22"/>
    <oleObject progId="Equation.DSMT4" shapeId="4129" r:id="rId23"/>
    <oleObject progId="Equation.DSMT4" shapeId="4130" r:id="rId24"/>
    <oleObject progId="Equation.DSMT4" shapeId="4131" r:id="rId25"/>
    <oleObject progId="Equation.DSMT4" shapeId="4132" r:id="rId26"/>
    <oleObject progId="Equation.DSMT4" shapeId="4133" r:id="rId2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vapor-press.-of-n-pentane</vt:lpstr>
      <vt:lpstr>vapor-press-of-n-hexane</vt:lpstr>
      <vt:lpstr>methyl-chloride</vt:lpstr>
      <vt:lpstr>Properties of Pure Species</vt:lpstr>
      <vt:lpstr>Table 4-4,Table4-5,Table 4-6</vt:lpstr>
    </vt:vector>
  </TitlesOfParts>
  <Company>a.k.c.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A.K. Coker</cp:lastModifiedBy>
  <cp:lastPrinted>2008-03-19T17:05:02Z</cp:lastPrinted>
  <dcterms:created xsi:type="dcterms:W3CDTF">2007-09-29T06:04:59Z</dcterms:created>
  <dcterms:modified xsi:type="dcterms:W3CDTF">2016-05-05T14:35:40Z</dcterms:modified>
</cp:coreProperties>
</file>